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480" yWindow="360" windowWidth="18195" windowHeight="12090"/>
  </bookViews>
  <sheets>
    <sheet name="Sheet1" sheetId="1" r:id="rId1"/>
    <sheet name="Sheet2" sheetId="2" state="veryHidden" r:id="rId2"/>
  </sheets>
  <calcPr calcId="152511"/>
</workbook>
</file>

<file path=xl/calcChain.xml><?xml version="1.0" encoding="utf-8"?>
<calcChain xmlns="http://schemas.openxmlformats.org/spreadsheetml/2006/main">
  <c r="P76" i="2" l="1"/>
  <c r="P78" i="2" s="1"/>
  <c r="K72" i="2" s="1"/>
  <c r="M31" i="1" l="1"/>
  <c r="Q15" i="1" l="1"/>
  <c r="N53" i="2" s="1"/>
  <c r="N43" i="2"/>
  <c r="O21" i="1" s="1"/>
  <c r="N55" i="2" l="1"/>
  <c r="N57" i="2" s="1"/>
  <c r="M27" i="1" s="1"/>
  <c r="M14" i="2"/>
  <c r="O14" i="2"/>
  <c r="O16" i="2" s="1"/>
  <c r="I31" i="2"/>
  <c r="O19" i="1" s="1"/>
  <c r="I11" i="2"/>
  <c r="O17" i="1" s="1"/>
  <c r="O15" i="1"/>
  <c r="M8" i="2" s="1"/>
  <c r="M15" i="1"/>
  <c r="P8" i="2" s="1"/>
  <c r="N35" i="1" l="1"/>
  <c r="P35" i="1"/>
  <c r="M10" i="2"/>
  <c r="M12" i="2" s="1"/>
  <c r="M26" i="1" s="1"/>
  <c r="N24" i="2"/>
  <c r="P23" i="2" s="1"/>
  <c r="M30" i="1" s="1"/>
  <c r="P10" i="2"/>
  <c r="P12" i="2" s="1"/>
  <c r="M25" i="1" s="1"/>
  <c r="M16" i="2"/>
  <c r="N22" i="2" s="1"/>
  <c r="P22" i="2" s="1"/>
  <c r="M29" i="1" s="1"/>
  <c r="O19" i="2" l="1"/>
  <c r="P34" i="1" s="1"/>
  <c r="O18" i="2"/>
  <c r="N34" i="1" s="1"/>
  <c r="M19" i="2"/>
  <c r="N33" i="1" s="1"/>
  <c r="M18" i="2" l="1"/>
  <c r="P33" i="1" s="1"/>
</calcChain>
</file>

<file path=xl/sharedStrings.xml><?xml version="1.0" encoding="utf-8"?>
<sst xmlns="http://schemas.openxmlformats.org/spreadsheetml/2006/main" count="60" uniqueCount="35">
  <si>
    <t>J</t>
  </si>
  <si>
    <t>x</t>
  </si>
  <si>
    <t>y</t>
  </si>
  <si>
    <t>G</t>
  </si>
  <si>
    <t>All but V</t>
  </si>
  <si>
    <t>Min</t>
  </si>
  <si>
    <t>Max</t>
  </si>
  <si>
    <t>Correction</t>
  </si>
  <si>
    <t>EFFICIENCY PREDICTION (In Compliance with HI)</t>
  </si>
  <si>
    <t>Enter Flow (in USGPM):</t>
  </si>
  <si>
    <t>Enter Head (in ft):</t>
  </si>
  <si>
    <t>Speed (in rpm):</t>
  </si>
  <si>
    <t>Specific Speed (Ns):</t>
  </si>
  <si>
    <t>For J</t>
  </si>
  <si>
    <t>For G</t>
  </si>
  <si>
    <t>Efficiency at Optimum Specific Speed for (J):</t>
  </si>
  <si>
    <t>Efficiency at Optimum Specific Speed for (G):</t>
  </si>
  <si>
    <t>(For J)</t>
  </si>
  <si>
    <t>(For G)</t>
  </si>
  <si>
    <t>So normal deviation is:</t>
  </si>
  <si>
    <t>Predicted efficiency (%) = optimum efficiency - efficiency correction</t>
  </si>
  <si>
    <t>Deviation</t>
  </si>
  <si>
    <t>AND</t>
  </si>
  <si>
    <t>So, the predicted efficiency lies between (%):</t>
  </si>
  <si>
    <t>For F</t>
  </si>
  <si>
    <t>Efficiency at Optimum Specific Speed for (F):</t>
  </si>
  <si>
    <t>F</t>
  </si>
  <si>
    <t>(For F)</t>
  </si>
  <si>
    <t>J: Double Suction both for Stage 1 and Stage 2</t>
  </si>
  <si>
    <t>G: End Suction Large &gt; 0.3 m3/s (5000 gpm)</t>
  </si>
  <si>
    <t>F: End Suction Small</t>
  </si>
  <si>
    <t>Rohit Mazumdar</t>
  </si>
  <si>
    <t xml:space="preserve"> =</t>
  </si>
  <si>
    <t>=</t>
  </si>
  <si>
    <t>This color cell is for user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</si>
</sst>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2" fontId="0" fillId="5" borderId="0" xfId="0" applyNumberForma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 vertical="center"/>
    </xf>
    <xf numFmtId="164" fontId="0" fillId="5" borderId="0" xfId="0" applyNumberForma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</xf>
    <xf numFmtId="0" fontId="1" fillId="0" borderId="0" xfId="0" applyFont="1" applyAlignment="1"/>
    <xf numFmtId="0" fontId="0" fillId="0" borderId="0" xfId="0" applyProtection="1"/>
    <xf numFmtId="2" fontId="0" fillId="0" borderId="0" xfId="0" applyNumberFormat="1" applyProtection="1"/>
    <xf numFmtId="164" fontId="0" fillId="0" borderId="0" xfId="0" applyNumberFormat="1" applyProtection="1"/>
    <xf numFmtId="164" fontId="0" fillId="4" borderId="0" xfId="0" applyNumberFormat="1" applyFill="1" applyProtection="1"/>
    <xf numFmtId="164" fontId="0" fillId="3" borderId="0" xfId="0" applyNumberFormat="1" applyFill="1" applyProtection="1"/>
    <xf numFmtId="0" fontId="3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0" fillId="8" borderId="0" xfId="0" applyFill="1" applyBorder="1" applyAlignment="1" applyProtection="1">
      <alignment horizontal="left" vertical="center"/>
    </xf>
    <xf numFmtId="0" fontId="0" fillId="9" borderId="0" xfId="0" applyFill="1" applyBorder="1" applyAlignment="1" applyProtection="1">
      <alignment horizontal="left" vertical="center"/>
    </xf>
    <xf numFmtId="164" fontId="1" fillId="5" borderId="0" xfId="0" applyNumberFormat="1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999652151914743E-2"/>
          <c:y val="1.6471038286206129E-2"/>
          <c:w val="0.89224741485627546"/>
          <c:h val="0.92940843932969919"/>
        </c:manualLayout>
      </c:layout>
      <c:scatterChart>
        <c:scatterStyle val="smoothMarker"/>
        <c:varyColors val="0"/>
        <c:ser>
          <c:idx val="0"/>
          <c:order val="0"/>
          <c:tx>
            <c:v>J</c:v>
          </c:tx>
          <c:marker>
            <c:symbol val="diamond"/>
            <c:size val="7"/>
            <c:spPr>
              <a:solidFill>
                <a:srgbClr val="92D050">
                  <a:alpha val="0"/>
                </a:srgbClr>
              </a:solidFill>
              <a:ln>
                <a:solidFill>
                  <a:srgbClr val="92D050">
                    <a:alpha val="0"/>
                  </a:srgbClr>
                </a:solidFill>
              </a:ln>
            </c:spPr>
          </c:marker>
          <c:xVal>
            <c:numRef>
              <c:f>Sheet2!$E$6:$E$26</c:f>
              <c:numCache>
                <c:formatCode>General</c:formatCode>
                <c:ptCount val="21"/>
                <c:pt idx="0">
                  <c:v>206.92654928630199</c:v>
                </c:pt>
                <c:pt idx="1">
                  <c:v>299.54544269641701</c:v>
                </c:pt>
                <c:pt idx="2">
                  <c:v>401.50155385250599</c:v>
                </c:pt>
                <c:pt idx="3">
                  <c:v>502.02052619477899</c:v>
                </c:pt>
                <c:pt idx="4">
                  <c:v>599.39832385545299</c:v>
                </c:pt>
                <c:pt idx="5">
                  <c:v>699.28945936515299</c:v>
                </c:pt>
                <c:pt idx="6">
                  <c:v>809.59765005698</c:v>
                </c:pt>
                <c:pt idx="7">
                  <c:v>1004.40598825267</c:v>
                </c:pt>
                <c:pt idx="8">
                  <c:v>1377.38839997378</c:v>
                </c:pt>
                <c:pt idx="9">
                  <c:v>2024.4000311472701</c:v>
                </c:pt>
                <c:pt idx="10">
                  <c:v>3020.8534891500399</c:v>
                </c:pt>
                <c:pt idx="11">
                  <c:v>4015.7347618219501</c:v>
                </c:pt>
                <c:pt idx="12">
                  <c:v>5058.6074810357904</c:v>
                </c:pt>
                <c:pt idx="13">
                  <c:v>6083.5805955615197</c:v>
                </c:pt>
                <c:pt idx="14">
                  <c:v>10102.7343776862</c:v>
                </c:pt>
                <c:pt idx="15">
                  <c:v>30746.130636058399</c:v>
                </c:pt>
                <c:pt idx="16">
                  <c:v>41146.4715666661</c:v>
                </c:pt>
                <c:pt idx="17">
                  <c:v>50993.841719583797</c:v>
                </c:pt>
                <c:pt idx="18">
                  <c:v>71455.402248908198</c:v>
                </c:pt>
                <c:pt idx="19">
                  <c:v>92030.375609472205</c:v>
                </c:pt>
                <c:pt idx="20">
                  <c:v>100149.75435111301</c:v>
                </c:pt>
              </c:numCache>
            </c:numRef>
          </c:xVal>
          <c:yVal>
            <c:numRef>
              <c:f>Sheet2!$F$6:$F$26</c:f>
              <c:numCache>
                <c:formatCode>General</c:formatCode>
                <c:ptCount val="21"/>
                <c:pt idx="0">
                  <c:v>78.215746204799501</c:v>
                </c:pt>
                <c:pt idx="1">
                  <c:v>79.565741626040406</c:v>
                </c:pt>
                <c:pt idx="2">
                  <c:v>80.709899671018604</c:v>
                </c:pt>
                <c:pt idx="3">
                  <c:v>81.487816069770403</c:v>
                </c:pt>
                <c:pt idx="4">
                  <c:v>82.163522749539894</c:v>
                </c:pt>
                <c:pt idx="5">
                  <c:v>82.734892802879997</c:v>
                </c:pt>
                <c:pt idx="6">
                  <c:v>83.306971825369004</c:v>
                </c:pt>
                <c:pt idx="7">
                  <c:v>83.979133659393497</c:v>
                </c:pt>
                <c:pt idx="8">
                  <c:v>85.014701263048195</c:v>
                </c:pt>
                <c:pt idx="9">
                  <c:v>86.256815212114702</c:v>
                </c:pt>
                <c:pt idx="10">
                  <c:v>87.391047689006697</c:v>
                </c:pt>
                <c:pt idx="11">
                  <c:v>88.110060567628196</c:v>
                </c:pt>
                <c:pt idx="12">
                  <c:v>88.727572696416402</c:v>
                </c:pt>
                <c:pt idx="13">
                  <c:v>89.083179805407596</c:v>
                </c:pt>
                <c:pt idx="14">
                  <c:v>89.941327879522504</c:v>
                </c:pt>
                <c:pt idx="15">
                  <c:v>90.849930924741898</c:v>
                </c:pt>
                <c:pt idx="16">
                  <c:v>90.876221864017694</c:v>
                </c:pt>
                <c:pt idx="17">
                  <c:v>90.803138960907205</c:v>
                </c:pt>
                <c:pt idx="18">
                  <c:v>90.825176085289002</c:v>
                </c:pt>
                <c:pt idx="19">
                  <c:v>90.855011870309795</c:v>
                </c:pt>
                <c:pt idx="20">
                  <c:v>91.006908510485303</c:v>
                </c:pt>
              </c:numCache>
            </c:numRef>
          </c:yVal>
          <c:smooth val="1"/>
        </c:ser>
        <c:ser>
          <c:idx val="1"/>
          <c:order val="1"/>
          <c:tx>
            <c:v>G</c:v>
          </c:tx>
          <c:marker>
            <c:spPr>
              <a:solidFill>
                <a:srgbClr val="92D050">
                  <a:alpha val="0"/>
                </a:srgbClr>
              </a:solidFill>
              <a:ln>
                <a:solidFill>
                  <a:srgbClr val="92D050">
                    <a:alpha val="0"/>
                  </a:srgbClr>
                </a:solidFill>
              </a:ln>
            </c:spPr>
          </c:marker>
          <c:xVal>
            <c:numRef>
              <c:f>Sheet2!$E$29:$E$35</c:f>
              <c:numCache>
                <c:formatCode>General</c:formatCode>
                <c:ptCount val="7"/>
                <c:pt idx="0">
                  <c:v>5039.3412269667397</c:v>
                </c:pt>
                <c:pt idx="1">
                  <c:v>8117.7208831684902</c:v>
                </c:pt>
                <c:pt idx="2">
                  <c:v>10146.257656711699</c:v>
                </c:pt>
                <c:pt idx="3">
                  <c:v>20576.5349070054</c:v>
                </c:pt>
                <c:pt idx="4">
                  <c:v>30674.898976103999</c:v>
                </c:pt>
                <c:pt idx="5">
                  <c:v>50921.400268447898</c:v>
                </c:pt>
                <c:pt idx="6">
                  <c:v>101582.962467178</c:v>
                </c:pt>
              </c:numCache>
            </c:numRef>
          </c:xVal>
          <c:yVal>
            <c:numRef>
              <c:f>Sheet2!$F$29:$F$35</c:f>
              <c:numCache>
                <c:formatCode>General</c:formatCode>
                <c:ptCount val="7"/>
                <c:pt idx="0">
                  <c:v>86.012752582567799</c:v>
                </c:pt>
                <c:pt idx="1">
                  <c:v>87.033431834093307</c:v>
                </c:pt>
                <c:pt idx="2">
                  <c:v>87.545189398154093</c:v>
                </c:pt>
                <c:pt idx="3">
                  <c:v>88.757526642962105</c:v>
                </c:pt>
                <c:pt idx="4">
                  <c:v>89.1997461496574</c:v>
                </c:pt>
                <c:pt idx="5">
                  <c:v>89.791735389081296</c:v>
                </c:pt>
                <c:pt idx="6">
                  <c:v>90.207014068114205</c:v>
                </c:pt>
              </c:numCache>
            </c:numRef>
          </c:yVal>
          <c:smooth val="1"/>
        </c:ser>
        <c:ser>
          <c:idx val="2"/>
          <c:order val="2"/>
          <c:tx>
            <c:v>Point J</c:v>
          </c:tx>
          <c:dPt>
            <c:idx val="0"/>
            <c:marker>
              <c:symbol val="triangle"/>
              <c:size val="8"/>
              <c:spPr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Sheet1!$M$9</c:f>
              <c:numCache>
                <c:formatCode>General</c:formatCode>
                <c:ptCount val="1"/>
                <c:pt idx="0">
                  <c:v>19000</c:v>
                </c:pt>
              </c:numCache>
            </c:numRef>
          </c:xVal>
          <c:yVal>
            <c:numRef>
              <c:f>Sheet1!$O$17</c:f>
              <c:numCache>
                <c:formatCode>General</c:formatCode>
                <c:ptCount val="1"/>
                <c:pt idx="0">
                  <c:v>90.332934112207283</c:v>
                </c:pt>
              </c:numCache>
            </c:numRef>
          </c:yVal>
          <c:smooth val="1"/>
        </c:ser>
        <c:ser>
          <c:idx val="3"/>
          <c:order val="3"/>
          <c:tx>
            <c:v>Point G</c:v>
          </c:tx>
          <c:marker>
            <c:spPr>
              <a:solidFill>
                <a:srgbClr val="92D050"/>
              </a:solidFill>
            </c:spPr>
          </c:marker>
          <c:dPt>
            <c:idx val="0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Sheet1!$O$9</c:f>
              <c:numCache>
                <c:formatCode>General</c:formatCode>
                <c:ptCount val="1"/>
                <c:pt idx="0">
                  <c:v>9000</c:v>
                </c:pt>
              </c:numCache>
            </c:numRef>
          </c:xVal>
          <c:yVal>
            <c:numRef>
              <c:f>Sheet1!$O$19</c:f>
              <c:numCache>
                <c:formatCode>General</c:formatCode>
                <c:ptCount val="1"/>
                <c:pt idx="0">
                  <c:v>87.25601247327134</c:v>
                </c:pt>
              </c:numCache>
            </c:numRef>
          </c:yVal>
          <c:smooth val="1"/>
        </c:ser>
        <c:ser>
          <c:idx val="4"/>
          <c:order val="4"/>
          <c:tx>
            <c:v>F</c:v>
          </c:tx>
          <c:marker>
            <c:spPr>
              <a:solidFill>
                <a:schemeClr val="accent1">
                  <a:alpha val="0"/>
                </a:schemeClr>
              </a:solidFill>
              <a:ln>
                <a:solidFill>
                  <a:schemeClr val="accent1">
                    <a:alpha val="0"/>
                  </a:schemeClr>
                </a:solidFill>
              </a:ln>
            </c:spPr>
          </c:marker>
          <c:xVal>
            <c:numRef>
              <c:f>Sheet2!$K$38:$K$50</c:f>
              <c:numCache>
                <c:formatCode>General</c:formatCode>
                <c:ptCount val="13"/>
                <c:pt idx="0">
                  <c:v>100</c:v>
                </c:pt>
                <c:pt idx="1">
                  <c:v>123.322576680737</c:v>
                </c:pt>
                <c:pt idx="2">
                  <c:v>135.38944529387101</c:v>
                </c:pt>
                <c:pt idx="3">
                  <c:v>161.90166138831299</c:v>
                </c:pt>
                <c:pt idx="4">
                  <c:v>195.10868811319699</c:v>
                </c:pt>
                <c:pt idx="5">
                  <c:v>258.09821259255699</c:v>
                </c:pt>
                <c:pt idx="6">
                  <c:v>313.45060127226702</c:v>
                </c:pt>
                <c:pt idx="7">
                  <c:v>440.900896585071</c:v>
                </c:pt>
                <c:pt idx="8">
                  <c:v>596.40519861004805</c:v>
                </c:pt>
                <c:pt idx="9">
                  <c:v>993.69303012351497</c:v>
                </c:pt>
                <c:pt idx="10">
                  <c:v>2004.1395707578199</c:v>
                </c:pt>
                <c:pt idx="11">
                  <c:v>2990.8016708340501</c:v>
                </c:pt>
                <c:pt idx="12">
                  <c:v>5007.43628929652</c:v>
                </c:pt>
              </c:numCache>
            </c:numRef>
          </c:xVal>
          <c:yVal>
            <c:numRef>
              <c:f>Sheet2!$L$38:$L$50</c:f>
              <c:numCache>
                <c:formatCode>General</c:formatCode>
                <c:ptCount val="13"/>
                <c:pt idx="0">
                  <c:v>59.458205127699699</c:v>
                </c:pt>
                <c:pt idx="1">
                  <c:v>61.943190038693203</c:v>
                </c:pt>
                <c:pt idx="2">
                  <c:v>63.000268073791197</c:v>
                </c:pt>
                <c:pt idx="3">
                  <c:v>64.9552947530468</c:v>
                </c:pt>
                <c:pt idx="4">
                  <c:v>66.962891491219594</c:v>
                </c:pt>
                <c:pt idx="5">
                  <c:v>69.921006932467094</c:v>
                </c:pt>
                <c:pt idx="6">
                  <c:v>71.9811737295569</c:v>
                </c:pt>
                <c:pt idx="7">
                  <c:v>74.986891980059994</c:v>
                </c:pt>
                <c:pt idx="8">
                  <c:v>77.410081939908096</c:v>
                </c:pt>
                <c:pt idx="9">
                  <c:v>80.932985494448303</c:v>
                </c:pt>
                <c:pt idx="10">
                  <c:v>83.958631877521796</c:v>
                </c:pt>
                <c:pt idx="11">
                  <c:v>85.253723958897993</c:v>
                </c:pt>
                <c:pt idx="12">
                  <c:v>86.591451599868293</c:v>
                </c:pt>
              </c:numCache>
            </c:numRef>
          </c:yVal>
          <c:smooth val="1"/>
        </c:ser>
        <c:ser>
          <c:idx val="5"/>
          <c:order val="5"/>
          <c:tx>
            <c:v>Point F</c:v>
          </c:tx>
          <c:marker>
            <c:symbol val="triang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Sheet1!$Q$9</c:f>
              <c:numCache>
                <c:formatCode>General</c:formatCode>
                <c:ptCount val="1"/>
                <c:pt idx="0">
                  <c:v>3000</c:v>
                </c:pt>
              </c:numCache>
            </c:numRef>
          </c:xVal>
          <c:yVal>
            <c:numRef>
              <c:f>Sheet1!$O$21</c:f>
              <c:numCache>
                <c:formatCode>General</c:formatCode>
                <c:ptCount val="1"/>
                <c:pt idx="0">
                  <c:v>85.259825638926387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52208"/>
        <c:axId val="137776552"/>
      </c:scatterChart>
      <c:valAx>
        <c:axId val="136352208"/>
        <c:scaling>
          <c:logBase val="10"/>
          <c:orientation val="minMax"/>
          <c:min val="10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crossAx val="137776552"/>
        <c:crosses val="autoZero"/>
        <c:crossBetween val="midCat"/>
        <c:minorUnit val="10"/>
      </c:valAx>
      <c:valAx>
        <c:axId val="137776552"/>
        <c:scaling>
          <c:orientation val="minMax"/>
          <c:max val="95"/>
          <c:min val="3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36352208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77328501978323871"/>
          <c:y val="0.23245084930421434"/>
          <c:w val="0.13965074236931563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4903794920372E-2"/>
          <c:y val="2.2110578568983224E-2"/>
          <c:w val="0.89224741485627546"/>
          <c:h val="0.92940843932969919"/>
        </c:manualLayout>
      </c:layout>
      <c:scatterChart>
        <c:scatterStyle val="smoothMarker"/>
        <c:varyColors val="0"/>
        <c:ser>
          <c:idx val="2"/>
          <c:order val="0"/>
          <c:tx>
            <c:v>All but V</c:v>
          </c:tx>
          <c:marker>
            <c:spPr>
              <a:solidFill>
                <a:srgbClr val="92D050">
                  <a:alpha val="0"/>
                </a:srgbClr>
              </a:solidFill>
              <a:ln>
                <a:solidFill>
                  <a:schemeClr val="tx1">
                    <a:alpha val="0"/>
                  </a:schemeClr>
                </a:solidFill>
              </a:ln>
            </c:spPr>
          </c:marker>
          <c:xVal>
            <c:numRef>
              <c:f>Sheet2!$E$38:$E$55</c:f>
              <c:numCache>
                <c:formatCode>General</c:formatCode>
                <c:ptCount val="18"/>
                <c:pt idx="0">
                  <c:v>685.63837258088301</c:v>
                </c:pt>
                <c:pt idx="1">
                  <c:v>716.33800944365203</c:v>
                </c:pt>
                <c:pt idx="2">
                  <c:v>745.04301394583899</c:v>
                </c:pt>
                <c:pt idx="3">
                  <c:v>809.59455425464205</c:v>
                </c:pt>
                <c:pt idx="4">
                  <c:v>879.49969403787804</c:v>
                </c:pt>
                <c:pt idx="5">
                  <c:v>1010.4708204551901</c:v>
                </c:pt>
                <c:pt idx="6">
                  <c:v>1148.7445743102201</c:v>
                </c:pt>
                <c:pt idx="7">
                  <c:v>1271.0332381518799</c:v>
                </c:pt>
                <c:pt idx="8">
                  <c:v>1440.6762737681499</c:v>
                </c:pt>
                <c:pt idx="9">
                  <c:v>1672.6789420259499</c:v>
                </c:pt>
                <c:pt idx="10">
                  <c:v>2474.7494210448299</c:v>
                </c:pt>
                <c:pt idx="11">
                  <c:v>3403.18461623134</c:v>
                </c:pt>
                <c:pt idx="12">
                  <c:v>3975.7411193378098</c:v>
                </c:pt>
                <c:pt idx="13">
                  <c:v>4719.1310674033002</c:v>
                </c:pt>
                <c:pt idx="14">
                  <c:v>5369.1306492739704</c:v>
                </c:pt>
                <c:pt idx="15">
                  <c:v>5961.9880089804501</c:v>
                </c:pt>
                <c:pt idx="16">
                  <c:v>6620.9086640319101</c:v>
                </c:pt>
                <c:pt idx="17">
                  <c:v>7356.6539748833702</c:v>
                </c:pt>
              </c:numCache>
            </c:numRef>
          </c:xVal>
          <c:yVal>
            <c:numRef>
              <c:f>Sheet2!$F$38:$F$55</c:f>
              <c:numCache>
                <c:formatCode>General</c:formatCode>
                <c:ptCount val="18"/>
                <c:pt idx="0">
                  <c:v>4.9980162415803804</c:v>
                </c:pt>
                <c:pt idx="1">
                  <c:v>4.7037991245214696</c:v>
                </c:pt>
                <c:pt idx="2">
                  <c:v>4.50755342518858</c:v>
                </c:pt>
                <c:pt idx="3">
                  <c:v>4.0170906087967797</c:v>
                </c:pt>
                <c:pt idx="4">
                  <c:v>3.50934940800206</c:v>
                </c:pt>
                <c:pt idx="5">
                  <c:v>2.7130294060637299</c:v>
                </c:pt>
                <c:pt idx="6">
                  <c:v>2.0147413946275901</c:v>
                </c:pt>
                <c:pt idx="7">
                  <c:v>1.51833739843964</c:v>
                </c:pt>
                <c:pt idx="8">
                  <c:v>1.01593164967936</c:v>
                </c:pt>
                <c:pt idx="9">
                  <c:v>0.50176468687912901</c:v>
                </c:pt>
                <c:pt idx="10">
                  <c:v>2.4531974349448699E-3</c:v>
                </c:pt>
                <c:pt idx="11">
                  <c:v>0.241200794714823</c:v>
                </c:pt>
                <c:pt idx="12">
                  <c:v>0.50462170282188301</c:v>
                </c:pt>
                <c:pt idx="13">
                  <c:v>1.0098188470173901</c:v>
                </c:pt>
                <c:pt idx="14">
                  <c:v>1.51544000064611</c:v>
                </c:pt>
                <c:pt idx="15">
                  <c:v>2.0155439839118698</c:v>
                </c:pt>
                <c:pt idx="16">
                  <c:v>2.5214074286452601</c:v>
                </c:pt>
                <c:pt idx="17">
                  <c:v>3.0618276421844901</c:v>
                </c:pt>
              </c:numCache>
            </c:numRef>
          </c:yVal>
          <c:smooth val="1"/>
        </c:ser>
        <c:ser>
          <c:idx val="0"/>
          <c:order val="1"/>
          <c:tx>
            <c:v>Correction point (J)</c:v>
          </c:tx>
          <c:dPt>
            <c:idx val="0"/>
            <c:marker>
              <c:spPr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Sheet1!$M$15</c:f>
              <c:numCache>
                <c:formatCode>General</c:formatCode>
                <c:ptCount val="1"/>
                <c:pt idx="0">
                  <c:v>4613.4339371404112</c:v>
                </c:pt>
              </c:numCache>
            </c:numRef>
          </c:xVal>
          <c:yVal>
            <c:numRef>
              <c:f>Sheet2!$P$12</c:f>
              <c:numCache>
                <c:formatCode>General</c:formatCode>
                <c:ptCount val="1"/>
                <c:pt idx="0">
                  <c:v>0.93798859359867182</c:v>
                </c:pt>
              </c:numCache>
            </c:numRef>
          </c:yVal>
          <c:smooth val="1"/>
        </c:ser>
        <c:ser>
          <c:idx val="1"/>
          <c:order val="2"/>
          <c:tx>
            <c:v>Correction Point (G)</c:v>
          </c:tx>
          <c:marker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Sheet1!$O$15</c:f>
              <c:numCache>
                <c:formatCode>General</c:formatCode>
                <c:ptCount val="1"/>
                <c:pt idx="0">
                  <c:v>1209.6355371095951</c:v>
                </c:pt>
              </c:numCache>
            </c:numRef>
          </c:xVal>
          <c:yVal>
            <c:numRef>
              <c:f>Sheet2!$M$12</c:f>
              <c:numCache>
                <c:formatCode>General</c:formatCode>
                <c:ptCount val="1"/>
                <c:pt idx="0">
                  <c:v>1.7675678928835601</c:v>
                </c:pt>
              </c:numCache>
            </c:numRef>
          </c:yVal>
          <c:smooth val="1"/>
        </c:ser>
        <c:ser>
          <c:idx val="3"/>
          <c:order val="3"/>
          <c:tx>
            <c:v>Correction Point (F)</c:v>
          </c:tx>
          <c:dPt>
            <c:idx val="0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Sheet1!$Q$15</c:f>
              <c:numCache>
                <c:formatCode>General</c:formatCode>
                <c:ptCount val="1"/>
                <c:pt idx="0">
                  <c:v>1068.9996819314883</c:v>
                </c:pt>
              </c:numCache>
            </c:numRef>
          </c:xVal>
          <c:yVal>
            <c:numRef>
              <c:f>Sheet2!$N$57</c:f>
              <c:numCache>
                <c:formatCode>General</c:formatCode>
                <c:ptCount val="1"/>
                <c:pt idx="0">
                  <c:v>2.4174563044991708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32808"/>
        <c:axId val="190633192"/>
      </c:scatterChart>
      <c:valAx>
        <c:axId val="190632808"/>
        <c:scaling>
          <c:logBase val="10"/>
          <c:orientation val="minMax"/>
          <c:max val="100000"/>
          <c:min val="10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crossAx val="190633192"/>
        <c:crosses val="autoZero"/>
        <c:crossBetween val="midCat"/>
      </c:valAx>
      <c:valAx>
        <c:axId val="190633192"/>
        <c:scaling>
          <c:orientation val="minMax"/>
          <c:max val="5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90632808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74424467774861469"/>
          <c:y val="0.29661331735706947"/>
          <c:w val="0.25575532225138525"/>
          <c:h val="0.259253238506477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999704165419691E-2"/>
          <c:y val="2.3297053738589844E-2"/>
          <c:w val="0.92093607565109403"/>
          <c:h val="0.96281780477099066"/>
        </c:manualLayout>
      </c:layout>
      <c:scatterChart>
        <c:scatterStyle val="smoothMarker"/>
        <c:varyColors val="0"/>
        <c:ser>
          <c:idx val="0"/>
          <c:order val="0"/>
          <c:tx>
            <c:v>Min</c:v>
          </c:tx>
          <c:marker>
            <c:spPr>
              <a:solidFill>
                <a:srgbClr val="FFFF00">
                  <a:alpha val="0"/>
                </a:srgbClr>
              </a:solidFill>
              <a:ln>
                <a:solidFill>
                  <a:schemeClr val="tx1">
                    <a:alpha val="0"/>
                  </a:schemeClr>
                </a:solidFill>
              </a:ln>
            </c:spPr>
          </c:marker>
          <c:xVal>
            <c:numRef>
              <c:f>Sheet2!$E$68:$E$77</c:f>
              <c:numCache>
                <c:formatCode>General</c:formatCode>
                <c:ptCount val="10"/>
                <c:pt idx="0">
                  <c:v>36.569395037823</c:v>
                </c:pt>
                <c:pt idx="1">
                  <c:v>60.072525360683301</c:v>
                </c:pt>
                <c:pt idx="2">
                  <c:v>100.275194641322</c:v>
                </c:pt>
                <c:pt idx="3">
                  <c:v>202.43783009648101</c:v>
                </c:pt>
                <c:pt idx="4">
                  <c:v>303.93374693033599</c:v>
                </c:pt>
                <c:pt idx="5">
                  <c:v>1018.07705147839</c:v>
                </c:pt>
                <c:pt idx="6">
                  <c:v>3020.1317290319198</c:v>
                </c:pt>
                <c:pt idx="7">
                  <c:v>10159.529079260899</c:v>
                </c:pt>
                <c:pt idx="8">
                  <c:v>40615.217135072402</c:v>
                </c:pt>
                <c:pt idx="9">
                  <c:v>100110.476212692</c:v>
                </c:pt>
              </c:numCache>
            </c:numRef>
          </c:xVal>
          <c:yVal>
            <c:numRef>
              <c:f>Sheet2!$F$68:$F$77</c:f>
              <c:numCache>
                <c:formatCode>General</c:formatCode>
                <c:ptCount val="10"/>
                <c:pt idx="0">
                  <c:v>-13.979503392231001</c:v>
                </c:pt>
                <c:pt idx="1">
                  <c:v>-11.9907383340671</c:v>
                </c:pt>
                <c:pt idx="2">
                  <c:v>-9.9333541977201207</c:v>
                </c:pt>
                <c:pt idx="3">
                  <c:v>-7.7446729507370602</c:v>
                </c:pt>
                <c:pt idx="4">
                  <c:v>-6.7216248760071897</c:v>
                </c:pt>
                <c:pt idx="5">
                  <c:v>-4.4135286098483402</c:v>
                </c:pt>
                <c:pt idx="6">
                  <c:v>-3.0353545265994399</c:v>
                </c:pt>
                <c:pt idx="7">
                  <c:v>-1.90417941958105</c:v>
                </c:pt>
                <c:pt idx="8">
                  <c:v>-1.19481855940249</c:v>
                </c:pt>
                <c:pt idx="9">
                  <c:v>-0.91722319766177596</c:v>
                </c:pt>
              </c:numCache>
            </c:numRef>
          </c:yVal>
          <c:smooth val="1"/>
        </c:ser>
        <c:ser>
          <c:idx val="1"/>
          <c:order val="1"/>
          <c:tx>
            <c:v>Max</c:v>
          </c:tx>
          <c:marker>
            <c:spPr>
              <a:solidFill>
                <a:srgbClr val="FFFF00">
                  <a:alpha val="0"/>
                </a:srgbClr>
              </a:solidFill>
              <a:ln>
                <a:solidFill>
                  <a:schemeClr val="tx1">
                    <a:alpha val="0"/>
                  </a:schemeClr>
                </a:solidFill>
              </a:ln>
            </c:spPr>
          </c:marker>
          <c:xVal>
            <c:numRef>
              <c:f>Sheet2!$E$80:$E$88</c:f>
              <c:numCache>
                <c:formatCode>General</c:formatCode>
                <c:ptCount val="9"/>
                <c:pt idx="0">
                  <c:v>36.855658232619398</c:v>
                </c:pt>
                <c:pt idx="1">
                  <c:v>100.174324469783</c:v>
                </c:pt>
                <c:pt idx="2">
                  <c:v>201.14043360918501</c:v>
                </c:pt>
                <c:pt idx="3">
                  <c:v>1014.77970159884</c:v>
                </c:pt>
                <c:pt idx="4">
                  <c:v>6115.1288772317603</c:v>
                </c:pt>
                <c:pt idx="5">
                  <c:v>10207.0917944264</c:v>
                </c:pt>
                <c:pt idx="6">
                  <c:v>20282.0949214791</c:v>
                </c:pt>
                <c:pt idx="7">
                  <c:v>40634.668020699602</c:v>
                </c:pt>
                <c:pt idx="8">
                  <c:v>99986.321172302094</c:v>
                </c:pt>
              </c:numCache>
            </c:numRef>
          </c:xVal>
          <c:yVal>
            <c:numRef>
              <c:f>Sheet2!$F$80:$F$88</c:f>
              <c:numCache>
                <c:formatCode>General</c:formatCode>
                <c:ptCount val="9"/>
                <c:pt idx="0">
                  <c:v>13.9855929641044</c:v>
                </c:pt>
                <c:pt idx="1">
                  <c:v>10.1062386284671</c:v>
                </c:pt>
                <c:pt idx="2">
                  <c:v>8.0034054922845907</c:v>
                </c:pt>
                <c:pt idx="3">
                  <c:v>4.7237997231048299</c:v>
                </c:pt>
                <c:pt idx="4">
                  <c:v>2.6488895018539198</c:v>
                </c:pt>
                <c:pt idx="5">
                  <c:v>2.1450888239381598</c:v>
                </c:pt>
                <c:pt idx="6">
                  <c:v>1.7731793612314899</c:v>
                </c:pt>
                <c:pt idx="7">
                  <c:v>1.50479262037248</c:v>
                </c:pt>
                <c:pt idx="8">
                  <c:v>1.2286825200642899</c:v>
                </c:pt>
              </c:numCache>
            </c:numRef>
          </c:yVal>
          <c:smooth val="1"/>
        </c:ser>
        <c:ser>
          <c:idx val="2"/>
          <c:order val="2"/>
          <c:tx>
            <c:v>Min (J)</c:v>
          </c:tx>
          <c:marker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Sheet1!$M$9</c:f>
              <c:numCache>
                <c:formatCode>General</c:formatCode>
                <c:ptCount val="1"/>
                <c:pt idx="0">
                  <c:v>19000</c:v>
                </c:pt>
              </c:numCache>
            </c:numRef>
          </c:xVal>
          <c:yVal>
            <c:numRef>
              <c:f>Sheet2!$N$22</c:f>
              <c:numCache>
                <c:formatCode>0.0</c:formatCode>
                <c:ptCount val="1"/>
                <c:pt idx="0">
                  <c:v>-1.6982709519993302</c:v>
                </c:pt>
              </c:numCache>
            </c:numRef>
          </c:yVal>
          <c:smooth val="1"/>
        </c:ser>
        <c:ser>
          <c:idx val="3"/>
          <c:order val="3"/>
          <c:tx>
            <c:v>Max (J)</c:v>
          </c:tx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Sheet1!$M$9</c:f>
              <c:numCache>
                <c:formatCode>General</c:formatCode>
                <c:ptCount val="1"/>
                <c:pt idx="0">
                  <c:v>19000</c:v>
                </c:pt>
              </c:numCache>
            </c:numRef>
          </c:xVal>
          <c:yVal>
            <c:numRef>
              <c:f>Sheet2!$P$22</c:f>
              <c:numCache>
                <c:formatCode>0.0</c:formatCode>
                <c:ptCount val="1"/>
                <c:pt idx="0">
                  <c:v>1.6982709519993302</c:v>
                </c:pt>
              </c:numCache>
            </c:numRef>
          </c:yVal>
          <c:smooth val="1"/>
        </c:ser>
        <c:ser>
          <c:idx val="4"/>
          <c:order val="4"/>
          <c:tx>
            <c:v>Min (G)</c:v>
          </c:tx>
          <c:marker>
            <c:symbol val="circle"/>
            <c:size val="7"/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Sheet1!$O$9</c:f>
              <c:numCache>
                <c:formatCode>General</c:formatCode>
                <c:ptCount val="1"/>
                <c:pt idx="0">
                  <c:v>9000</c:v>
                </c:pt>
              </c:numCache>
            </c:numRef>
          </c:xVal>
          <c:yVal>
            <c:numRef>
              <c:f>Sheet2!$N$24</c:f>
              <c:numCache>
                <c:formatCode>0.0</c:formatCode>
                <c:ptCount val="1"/>
                <c:pt idx="0">
                  <c:v>-2.0878966671274153</c:v>
                </c:pt>
              </c:numCache>
            </c:numRef>
          </c:yVal>
          <c:smooth val="1"/>
        </c:ser>
        <c:ser>
          <c:idx val="5"/>
          <c:order val="5"/>
          <c:tx>
            <c:v>Max (G)</c:v>
          </c:tx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Sheet1!$O$9</c:f>
              <c:numCache>
                <c:formatCode>General</c:formatCode>
                <c:ptCount val="1"/>
                <c:pt idx="0">
                  <c:v>9000</c:v>
                </c:pt>
              </c:numCache>
            </c:numRef>
          </c:xVal>
          <c:yVal>
            <c:numRef>
              <c:f>Sheet2!$P$23</c:f>
              <c:numCache>
                <c:formatCode>0.0</c:formatCode>
                <c:ptCount val="1"/>
                <c:pt idx="0">
                  <c:v>2.0878966671274153</c:v>
                </c:pt>
              </c:numCache>
            </c:numRef>
          </c:yVal>
          <c:smooth val="1"/>
        </c:ser>
        <c:ser>
          <c:idx val="6"/>
          <c:order val="6"/>
          <c:tx>
            <c:v>Max (F)</c:v>
          </c:tx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Sheet1!$Q$9</c:f>
              <c:numCache>
                <c:formatCode>General</c:formatCode>
                <c:ptCount val="1"/>
                <c:pt idx="0">
                  <c:v>3000</c:v>
                </c:pt>
              </c:numCache>
            </c:numRef>
          </c:xVal>
          <c:yVal>
            <c:numRef>
              <c:f>Sheet2!$K$72</c:f>
              <c:numCache>
                <c:formatCode>0.00</c:formatCode>
                <c:ptCount val="1"/>
                <c:pt idx="0">
                  <c:v>3.0492128030560477</c:v>
                </c:pt>
              </c:numCache>
            </c:numRef>
          </c:yVal>
          <c:smooth val="1"/>
        </c:ser>
        <c:ser>
          <c:idx val="7"/>
          <c:order val="7"/>
          <c:tx>
            <c:v>Min (F)</c:v>
          </c:tx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Sheet1!$Q$9</c:f>
              <c:numCache>
                <c:formatCode>General</c:formatCode>
                <c:ptCount val="1"/>
                <c:pt idx="0">
                  <c:v>3000</c:v>
                </c:pt>
              </c:numCache>
            </c:numRef>
          </c:xVal>
          <c:yVal>
            <c:numRef>
              <c:f>Sheet2!$P$78</c:f>
              <c:numCache>
                <c:formatCode>General</c:formatCode>
                <c:ptCount val="1"/>
                <c:pt idx="0">
                  <c:v>-3.0492128030560477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14792"/>
        <c:axId val="190715176"/>
      </c:scatterChart>
      <c:valAx>
        <c:axId val="190714792"/>
        <c:scaling>
          <c:logBase val="10"/>
          <c:orientation val="minMax"/>
          <c:max val="100000"/>
          <c:min val="1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crossAx val="190715176"/>
        <c:crosses val="autoZero"/>
        <c:crossBetween val="midCat"/>
      </c:valAx>
      <c:valAx>
        <c:axId val="190715176"/>
        <c:scaling>
          <c:orientation val="minMax"/>
          <c:max val="14"/>
          <c:min val="-14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90714792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535172426363371"/>
          <c:y val="0.57260760142771361"/>
          <c:w val="0.13958333333333334"/>
          <c:h val="0.396544069523443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10</xdr:col>
      <xdr:colOff>0</xdr:colOff>
      <xdr:row>23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23</xdr:row>
      <xdr:rowOff>180975</xdr:rowOff>
    </xdr:from>
    <xdr:to>
      <xdr:col>10</xdr:col>
      <xdr:colOff>0</xdr:colOff>
      <xdr:row>42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123824</xdr:rowOff>
    </xdr:from>
    <xdr:to>
      <xdr:col>10</xdr:col>
      <xdr:colOff>0</xdr:colOff>
      <xdr:row>62</xdr:row>
      <xdr:rowOff>19049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552449</xdr:colOff>
      <xdr:row>37</xdr:row>
      <xdr:rowOff>152400</xdr:rowOff>
    </xdr:from>
    <xdr:to>
      <xdr:col>9</xdr:col>
      <xdr:colOff>333374</xdr:colOff>
      <xdr:row>39</xdr:row>
      <xdr:rowOff>38100</xdr:rowOff>
    </xdr:to>
    <xdr:sp macro="" textlink="">
      <xdr:nvSpPr>
        <xdr:cNvPr id="9" name="TextBox 8"/>
        <xdr:cNvSpPr txBox="1"/>
      </xdr:nvSpPr>
      <xdr:spPr>
        <a:xfrm>
          <a:off x="4210049" y="6467475"/>
          <a:ext cx="1609725" cy="2667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Specific</a:t>
          </a:r>
          <a:r>
            <a:rPr lang="en-US" sz="1100" baseline="0"/>
            <a:t> Speed,(US units)</a:t>
          </a:r>
          <a:endParaRPr lang="en-US" sz="1100"/>
        </a:p>
      </xdr:txBody>
    </xdr:sp>
    <xdr:clientData/>
  </xdr:twoCellAnchor>
  <xdr:twoCellAnchor>
    <xdr:from>
      <xdr:col>6</xdr:col>
      <xdr:colOff>552450</xdr:colOff>
      <xdr:row>40</xdr:row>
      <xdr:rowOff>0</xdr:rowOff>
    </xdr:from>
    <xdr:to>
      <xdr:col>8</xdr:col>
      <xdr:colOff>542925</xdr:colOff>
      <xdr:row>40</xdr:row>
      <xdr:rowOff>9525</xdr:rowOff>
    </xdr:to>
    <xdr:cxnSp macro="">
      <xdr:nvCxnSpPr>
        <xdr:cNvPr id="11" name="Straight Arrow Connector 10"/>
        <xdr:cNvCxnSpPr/>
      </xdr:nvCxnSpPr>
      <xdr:spPr>
        <a:xfrm flipV="1">
          <a:off x="4210050" y="6886575"/>
          <a:ext cx="12096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76200</xdr:rowOff>
        </xdr:from>
        <xdr:to>
          <xdr:col>1</xdr:col>
          <xdr:colOff>552450</xdr:colOff>
          <xdr:row>3</xdr:row>
          <xdr:rowOff>533400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0.62762</cdr:x>
      <cdr:y>0.70979</cdr:y>
    </cdr:from>
    <cdr:to>
      <cdr:x>0.81643</cdr:x>
      <cdr:y>0.78527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3419476" y="2508250"/>
          <a:ext cx="10287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Flow (USGPM)</a:t>
          </a:r>
        </a:p>
      </cdr:txBody>
    </cdr:sp>
  </cdr:relSizeAnchor>
  <cdr:relSizeAnchor xmlns:cdr="http://schemas.openxmlformats.org/drawingml/2006/chartDrawing">
    <cdr:from>
      <cdr:x>0.62646</cdr:x>
      <cdr:y>0.81222</cdr:y>
    </cdr:from>
    <cdr:to>
      <cdr:x>0.83042</cdr:x>
      <cdr:y>0.81402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3413126" y="2870201"/>
          <a:ext cx="1111249" cy="634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0.11917</cdr:x>
      <cdr:y>0.469</cdr:y>
    </cdr:from>
    <cdr:to>
      <cdr:x>0.20105</cdr:x>
      <cdr:y>0.89218</cdr:y>
    </cdr:to>
    <cdr:sp macro="" textlink="">
      <cdr:nvSpPr>
        <cdr:cNvPr id="5" name="TextBox 8"/>
        <cdr:cNvSpPr txBox="1"/>
      </cdr:nvSpPr>
      <cdr:spPr>
        <a:xfrm xmlns:a="http://schemas.openxmlformats.org/drawingml/2006/main" rot="16200000">
          <a:off x="124619" y="2182018"/>
          <a:ext cx="1495424" cy="44608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Efficiency</a:t>
          </a:r>
          <a:r>
            <a:rPr lang="en-US" sz="1100"/>
            <a:t> at Optimum</a:t>
          </a:r>
          <a:r>
            <a:rPr lang="en-US" sz="1100" baseline="0"/>
            <a:t> Specific Speed</a:t>
          </a:r>
          <a:endParaRPr lang="en-US" sz="1100"/>
        </a:p>
      </cdr:txBody>
    </cdr:sp>
  </cdr:relSizeAnchor>
  <cdr:relSizeAnchor xmlns:cdr="http://schemas.openxmlformats.org/drawingml/2006/chartDrawing">
    <cdr:from>
      <cdr:x>0.09324</cdr:x>
      <cdr:y>0.47709</cdr:y>
    </cdr:from>
    <cdr:to>
      <cdr:x>0.09441</cdr:x>
      <cdr:y>0.89578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508000" y="1685925"/>
          <a:ext cx="6350" cy="1479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0.15075</cdr:x>
      <cdr:y>0.21739</cdr:y>
    </cdr:from>
    <cdr:to>
      <cdr:x>0.19936</cdr:x>
      <cdr:y>0.74457</cdr:y>
    </cdr:to>
    <cdr:sp macro="" textlink="">
      <cdr:nvSpPr>
        <cdr:cNvPr id="2" name="TextBox 8"/>
        <cdr:cNvSpPr txBox="1"/>
      </cdr:nvSpPr>
      <cdr:spPr>
        <a:xfrm xmlns:a="http://schemas.openxmlformats.org/drawingml/2006/main" rot="16200000">
          <a:off x="36513" y="1552575"/>
          <a:ext cx="184785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Efficiency Correction</a:t>
          </a:r>
          <a:r>
            <a:rPr lang="en-US" sz="1100" baseline="0"/>
            <a:t> points</a:t>
          </a:r>
          <a:endParaRPr lang="en-US" sz="1100"/>
        </a:p>
      </cdr:txBody>
    </cdr:sp>
  </cdr:relSizeAnchor>
  <cdr:relSizeAnchor xmlns:cdr="http://schemas.openxmlformats.org/drawingml/2006/chartDrawing">
    <cdr:from>
      <cdr:x>0.1059</cdr:x>
      <cdr:y>0.21739</cdr:y>
    </cdr:from>
    <cdr:to>
      <cdr:x>0.10764</cdr:x>
      <cdr:y>0.74185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81026" y="762000"/>
          <a:ext cx="9525" cy="18383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0.60069</cdr:x>
      <cdr:y>0.73188</cdr:y>
    </cdr:from>
    <cdr:to>
      <cdr:x>0.78819</cdr:x>
      <cdr:y>0.80797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3295650" y="2565400"/>
          <a:ext cx="10287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Flow (USGPM)</a:t>
          </a:r>
        </a:p>
      </cdr:txBody>
    </cdr:sp>
  </cdr:relSizeAnchor>
  <cdr:relSizeAnchor xmlns:cdr="http://schemas.openxmlformats.org/drawingml/2006/chartDrawing">
    <cdr:from>
      <cdr:x>0.59433</cdr:x>
      <cdr:y>0.84058</cdr:y>
    </cdr:from>
    <cdr:to>
      <cdr:x>0.79687</cdr:x>
      <cdr:y>0.84239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3260725" y="2946401"/>
          <a:ext cx="1111249" cy="634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0.14091</cdr:x>
      <cdr:y>0.34511</cdr:y>
    </cdr:from>
    <cdr:to>
      <cdr:x>0.18924</cdr:x>
      <cdr:y>0.62591</cdr:y>
    </cdr:to>
    <cdr:sp macro="" textlink="">
      <cdr:nvSpPr>
        <cdr:cNvPr id="4" name="TextBox 8"/>
        <cdr:cNvSpPr txBox="1"/>
      </cdr:nvSpPr>
      <cdr:spPr>
        <a:xfrm xmlns:a="http://schemas.openxmlformats.org/drawingml/2006/main" rot="16200000">
          <a:off x="413548" y="1569245"/>
          <a:ext cx="984246" cy="265113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Deviation</a:t>
          </a:r>
          <a:endParaRPr lang="en-US" sz="1100"/>
        </a:p>
      </cdr:txBody>
    </cdr:sp>
  </cdr:relSizeAnchor>
  <cdr:relSizeAnchor xmlns:cdr="http://schemas.openxmlformats.org/drawingml/2006/chartDrawing">
    <cdr:from>
      <cdr:x>0.12153</cdr:x>
      <cdr:y>0.35145</cdr:y>
    </cdr:from>
    <cdr:to>
      <cdr:x>0.12153</cdr:x>
      <cdr:y>0.63043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66750" y="1231900"/>
          <a:ext cx="0" cy="9779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4912"/>
  <sheetViews>
    <sheetView tabSelected="1" zoomScale="80" zoomScaleNormal="80" workbookViewId="0">
      <selection activeCell="O9" sqref="O9"/>
    </sheetView>
  </sheetViews>
  <sheetFormatPr defaultColWidth="0" defaultRowHeight="15" zeroHeight="1" x14ac:dyDescent="0.25"/>
  <cols>
    <col min="1" max="1" width="7.42578125" style="29" customWidth="1"/>
    <col min="2" max="2" width="11" style="1" customWidth="1"/>
    <col min="3" max="9" width="9.140625" style="1" customWidth="1"/>
    <col min="10" max="10" width="9.85546875" style="1" customWidth="1"/>
    <col min="11" max="11" width="10" style="1" customWidth="1"/>
    <col min="12" max="12" width="18.42578125" style="1" customWidth="1"/>
    <col min="13" max="13" width="7.42578125" style="1" customWidth="1"/>
    <col min="14" max="14" width="9.5703125" style="1" customWidth="1"/>
    <col min="15" max="15" width="7.85546875" style="1" customWidth="1"/>
    <col min="16" max="16" width="7.5703125" style="1" customWidth="1"/>
    <col min="17" max="17" width="7.85546875" style="1" customWidth="1"/>
    <col min="18" max="30" width="0" style="1" hidden="1" customWidth="1"/>
    <col min="31" max="16384" width="9.140625" style="1" hidden="1"/>
  </cols>
  <sheetData>
    <row r="1" spans="2:17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8" customHeight="1" thickBot="1" x14ac:dyDescent="0.3"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5.75" thickBot="1" x14ac:dyDescent="0.3"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53.25" customHeight="1" thickBot="1" x14ac:dyDescent="0.3">
      <c r="B4" s="7"/>
      <c r="C4" s="43" t="s">
        <v>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2:17" x14ac:dyDescent="0.25">
      <c r="B5" s="11"/>
      <c r="C5" s="11"/>
      <c r="D5" s="11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 x14ac:dyDescent="0.25">
      <c r="B6" s="11"/>
      <c r="C6" s="11"/>
      <c r="D6" s="11"/>
      <c r="E6" s="11"/>
      <c r="F6" s="11"/>
      <c r="G6" s="11"/>
      <c r="H6" s="12"/>
      <c r="I6" s="12"/>
      <c r="J6" s="12"/>
      <c r="K6" s="49" t="s">
        <v>34</v>
      </c>
      <c r="L6" s="49"/>
      <c r="M6" s="49"/>
      <c r="N6" s="12"/>
      <c r="O6" s="12"/>
      <c r="P6" s="12"/>
      <c r="Q6" s="12"/>
    </row>
    <row r="7" spans="2:17" ht="20.25" customHeight="1" x14ac:dyDescent="0.25">
      <c r="B7" s="11"/>
      <c r="C7" s="11"/>
      <c r="D7" s="11"/>
      <c r="E7" s="11"/>
      <c r="F7" s="11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20.25" customHeight="1" x14ac:dyDescent="0.25">
      <c r="B8" s="11"/>
      <c r="C8" s="11"/>
      <c r="D8" s="11"/>
      <c r="E8" s="11"/>
      <c r="F8" s="11"/>
      <c r="G8" s="11"/>
      <c r="H8" s="10"/>
      <c r="I8" s="10"/>
      <c r="J8" s="10"/>
      <c r="K8" s="10"/>
      <c r="L8" s="10"/>
      <c r="M8" s="13" t="s">
        <v>13</v>
      </c>
      <c r="N8" s="10"/>
      <c r="O8" s="13" t="s">
        <v>14</v>
      </c>
      <c r="P8" s="10"/>
      <c r="Q8" s="10" t="s">
        <v>24</v>
      </c>
    </row>
    <row r="9" spans="2:17" ht="20.25" customHeight="1" x14ac:dyDescent="0.25">
      <c r="B9" s="11"/>
      <c r="C9" s="11"/>
      <c r="D9" s="11"/>
      <c r="E9" s="11"/>
      <c r="F9" s="11"/>
      <c r="G9" s="11"/>
      <c r="H9" s="10"/>
      <c r="I9" s="10"/>
      <c r="J9" s="10"/>
      <c r="K9" s="48" t="s">
        <v>9</v>
      </c>
      <c r="L9" s="48"/>
      <c r="M9" s="14">
        <v>19000</v>
      </c>
      <c r="N9" s="10"/>
      <c r="O9" s="14">
        <v>9000</v>
      </c>
      <c r="P9" s="10"/>
      <c r="Q9" s="14">
        <v>3000</v>
      </c>
    </row>
    <row r="10" spans="2:17" ht="20.25" customHeight="1" x14ac:dyDescent="0.25">
      <c r="B10" s="11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5"/>
      <c r="N10" s="10"/>
      <c r="O10" s="15"/>
      <c r="P10" s="10"/>
      <c r="Q10" s="16"/>
    </row>
    <row r="11" spans="2:17" ht="20.25" customHeight="1" x14ac:dyDescent="0.25">
      <c r="B11" s="11"/>
      <c r="C11" s="11"/>
      <c r="D11" s="11"/>
      <c r="E11" s="11"/>
      <c r="F11" s="11"/>
      <c r="G11" s="11"/>
      <c r="H11" s="10"/>
      <c r="I11" s="10"/>
      <c r="J11" s="10"/>
      <c r="K11" s="10" t="s">
        <v>10</v>
      </c>
      <c r="L11" s="10"/>
      <c r="M11" s="14">
        <v>200</v>
      </c>
      <c r="N11" s="10"/>
      <c r="O11" s="14">
        <v>790</v>
      </c>
      <c r="P11" s="10"/>
      <c r="Q11" s="14">
        <v>787</v>
      </c>
    </row>
    <row r="12" spans="2:17" ht="20.25" customHeight="1" x14ac:dyDescent="0.25">
      <c r="B12" s="11"/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28"/>
      <c r="N12" s="10"/>
      <c r="O12" s="28"/>
      <c r="P12" s="10"/>
      <c r="Q12" s="28"/>
    </row>
    <row r="13" spans="2:17" ht="20.25" customHeight="1" x14ac:dyDescent="0.25">
      <c r="B13" s="11"/>
      <c r="C13" s="11"/>
      <c r="D13" s="11"/>
      <c r="E13" s="11"/>
      <c r="F13" s="11"/>
      <c r="G13" s="11"/>
      <c r="H13" s="10"/>
      <c r="I13" s="10"/>
      <c r="J13" s="10"/>
      <c r="K13" s="10" t="s">
        <v>11</v>
      </c>
      <c r="L13" s="10"/>
      <c r="M13" s="14">
        <v>1780</v>
      </c>
      <c r="N13" s="10"/>
      <c r="O13" s="14">
        <v>1900</v>
      </c>
      <c r="P13" s="10"/>
      <c r="Q13" s="14">
        <v>2900</v>
      </c>
    </row>
    <row r="14" spans="2:17" ht="20.25" customHeight="1" x14ac:dyDescent="0.25">
      <c r="B14" s="11"/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28"/>
      <c r="N14" s="10"/>
      <c r="O14" s="28"/>
      <c r="P14" s="10"/>
      <c r="Q14" s="28"/>
    </row>
    <row r="15" spans="2:17" ht="20.25" customHeight="1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 t="s">
        <v>12</v>
      </c>
      <c r="L15" s="17"/>
      <c r="M15" s="41">
        <f>M13*(M9)^0.5/(M11)^0.75</f>
        <v>4613.4339371404112</v>
      </c>
      <c r="N15" s="17"/>
      <c r="O15" s="41">
        <f>O13*(O9)^0.5/(O11)^0.75</f>
        <v>1209.6355371095951</v>
      </c>
      <c r="P15" s="17"/>
      <c r="Q15" s="41">
        <f>Q13*(Q9)^0.5/(Q11)^0.75</f>
        <v>1068.9996819314883</v>
      </c>
    </row>
    <row r="16" spans="2:17" ht="20.25" customHeight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7"/>
      <c r="P16" s="17"/>
      <c r="Q16" s="10"/>
    </row>
    <row r="17" spans="2:17" ht="20.25" customHeight="1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47" t="s">
        <v>15</v>
      </c>
      <c r="L17" s="47"/>
      <c r="M17" s="47"/>
      <c r="N17" s="47"/>
      <c r="O17" s="40">
        <f>(M9-INDEX(Sheet2!E6:E26,Sheet2!I11))/(INDEX(Sheet2!E6:E26,Sheet2!I11+1)-INDEX(Sheet2!E6:E26,Sheet2!I11))*(INDEX(Sheet2!F6:F26,Sheet2!I11+1)-INDEX(Sheet2!F6:F26,Sheet2!I11))+INDEX(Sheet2!F6:F26,Sheet2!I11)</f>
        <v>90.332934112207283</v>
      </c>
      <c r="P17" s="17"/>
      <c r="Q17" s="10"/>
    </row>
    <row r="18" spans="2:17" ht="20.2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7"/>
      <c r="P18" s="17"/>
      <c r="Q18" s="10"/>
    </row>
    <row r="19" spans="2:17" ht="20.2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47" t="s">
        <v>16</v>
      </c>
      <c r="L19" s="47"/>
      <c r="M19" s="47"/>
      <c r="N19" s="47"/>
      <c r="O19" s="40">
        <f>(O9-INDEX(Sheet2!E29:E35,Sheet2!I31))/(INDEX(Sheet2!E29:E35,Sheet2!I31+1)-INDEX(Sheet2!E29:E35,Sheet2!I31))*(INDEX(Sheet2!F29:F35,Sheet2!I31+1)-INDEX(Sheet2!F29:F35,Sheet2!I31))+INDEX(Sheet2!F29:F35,Sheet2!I31)</f>
        <v>87.25601247327134</v>
      </c>
      <c r="P19" s="17"/>
      <c r="Q19" s="10"/>
    </row>
    <row r="20" spans="2:17" ht="20.25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7"/>
      <c r="P20" s="17"/>
      <c r="Q20" s="10"/>
    </row>
    <row r="21" spans="2:17" ht="20.2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47" t="s">
        <v>25</v>
      </c>
      <c r="L21" s="47"/>
      <c r="M21" s="47"/>
      <c r="N21" s="47"/>
      <c r="O21" s="40">
        <f>(Q9-INDEX(Sheet2!K38:K50,Sheet2!N43))/(INDEX(Sheet2!K38:K50,Sheet2!N43+1)-INDEX(Sheet2!K38:K50,Sheet2!N43))*(INDEX(Sheet2!L38:L50,Sheet2!N43+1)-INDEX(Sheet2!L38:L50,Sheet2!N43))+INDEX(Sheet2!L38:L50,Sheet2!N43)</f>
        <v>85.259825638926387</v>
      </c>
      <c r="P21" s="17"/>
      <c r="Q21" s="10"/>
    </row>
    <row r="22" spans="2:17" ht="20.25" customHeigh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1"/>
    </row>
    <row r="23" spans="2:17" ht="20.25" customHeight="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1"/>
    </row>
    <row r="24" spans="2:17" ht="20.25" customHeight="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9" t="s">
        <v>20</v>
      </c>
      <c r="L24" s="19"/>
      <c r="M24" s="19"/>
      <c r="N24" s="19"/>
      <c r="O24" s="19"/>
      <c r="P24" s="19"/>
      <c r="Q24" s="10"/>
    </row>
    <row r="25" spans="2:17" ht="20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0" t="s">
        <v>32</v>
      </c>
      <c r="M25" s="21">
        <f>O17-Sheet2!P12</f>
        <v>89.394945518608608</v>
      </c>
      <c r="N25" s="17" t="s">
        <v>17</v>
      </c>
      <c r="O25" s="17"/>
      <c r="P25" s="17"/>
      <c r="Q25" s="10"/>
    </row>
    <row r="26" spans="2:17" ht="20.2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0" t="s">
        <v>33</v>
      </c>
      <c r="M26" s="21">
        <f>O19-Sheet2!M12</f>
        <v>85.488444580387778</v>
      </c>
      <c r="N26" s="17" t="s">
        <v>18</v>
      </c>
      <c r="O26" s="17"/>
      <c r="P26" s="17"/>
      <c r="Q26" s="10"/>
    </row>
    <row r="27" spans="2:17" ht="20.2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0" t="s">
        <v>33</v>
      </c>
      <c r="M27" s="21">
        <f>O21-Sheet2!N57</f>
        <v>82.842369334427218</v>
      </c>
      <c r="N27" s="17" t="s">
        <v>27</v>
      </c>
      <c r="O27" s="17"/>
      <c r="P27" s="17"/>
      <c r="Q27" s="10"/>
    </row>
    <row r="28" spans="2:17" ht="20.25" customHeight="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1"/>
    </row>
    <row r="29" spans="2:17" ht="20.2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 t="s">
        <v>19</v>
      </c>
      <c r="L29" s="17"/>
      <c r="M29" s="21" t="str">
        <f>"±"&amp;Sheet2!P22</f>
        <v>±1.69827095199933</v>
      </c>
      <c r="N29" s="17" t="s">
        <v>17</v>
      </c>
      <c r="O29" s="17"/>
      <c r="P29" s="17"/>
      <c r="Q29" s="10"/>
    </row>
    <row r="30" spans="2:17" ht="20.25" customHeigh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1" t="str">
        <f>"±"&amp;Sheet2!P23</f>
        <v>±2.08789666712742</v>
      </c>
      <c r="N30" s="17" t="s">
        <v>18</v>
      </c>
      <c r="O30" s="17"/>
      <c r="P30" s="17"/>
      <c r="Q30" s="10"/>
    </row>
    <row r="31" spans="2:17" ht="20.25" customHeigh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1" t="str">
        <f>"±"&amp;Sheet2!K72</f>
        <v>±3.04921280305605</v>
      </c>
      <c r="N31" s="17" t="s">
        <v>27</v>
      </c>
      <c r="O31" s="17"/>
      <c r="P31" s="17"/>
      <c r="Q31" s="11"/>
    </row>
    <row r="32" spans="2:17" ht="20.25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1"/>
    </row>
    <row r="33" spans="2:25" ht="20.25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50" t="s">
        <v>23</v>
      </c>
      <c r="L33" s="50"/>
      <c r="M33" s="50"/>
      <c r="N33" s="22">
        <f>Sheet2!M19</f>
        <v>87.696674566609275</v>
      </c>
      <c r="O33" s="23" t="s">
        <v>22</v>
      </c>
      <c r="P33" s="24">
        <f>Sheet2!M18</f>
        <v>91.093216470607942</v>
      </c>
      <c r="Q33" s="17" t="s">
        <v>17</v>
      </c>
    </row>
    <row r="34" spans="2:25" ht="20.25" customHeight="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50"/>
      <c r="L34" s="50"/>
      <c r="M34" s="50"/>
      <c r="N34" s="24">
        <f>Sheet2!O18</f>
        <v>83.400547913260368</v>
      </c>
      <c r="O34" s="23" t="s">
        <v>22</v>
      </c>
      <c r="P34" s="24">
        <f>Sheet2!O19</f>
        <v>87.576341247515188</v>
      </c>
      <c r="Q34" s="17" t="s">
        <v>18</v>
      </c>
    </row>
    <row r="35" spans="2:25" ht="20.25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50"/>
      <c r="L35" s="50"/>
      <c r="M35" s="50"/>
      <c r="N35" s="24">
        <f>M27+Sheet2!P78</f>
        <v>79.793156531371167</v>
      </c>
      <c r="O35" s="42" t="s">
        <v>22</v>
      </c>
      <c r="P35" s="24">
        <f>M27+Sheet2!K72</f>
        <v>85.891582137483269</v>
      </c>
      <c r="Q35" s="17" t="s">
        <v>27</v>
      </c>
    </row>
    <row r="36" spans="2:25" ht="20.2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1"/>
    </row>
    <row r="37" spans="2:25" ht="20.25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0"/>
    </row>
    <row r="38" spans="2:25" ht="20.2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0"/>
    </row>
    <row r="39" spans="2:25" ht="20.25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45" t="s">
        <v>28</v>
      </c>
      <c r="L39" s="45"/>
      <c r="M39" s="45"/>
      <c r="N39" s="45"/>
      <c r="O39" s="45"/>
      <c r="P39" s="17"/>
      <c r="Q39" s="10"/>
    </row>
    <row r="40" spans="2:25" ht="20.25" customHeigh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45" t="s">
        <v>29</v>
      </c>
      <c r="L40" s="45"/>
      <c r="M40" s="45"/>
      <c r="N40" s="45"/>
      <c r="O40" s="45"/>
      <c r="P40" s="17"/>
      <c r="Q40" s="10"/>
    </row>
    <row r="41" spans="2:25" ht="20.25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45" t="s">
        <v>30</v>
      </c>
      <c r="L41" s="45"/>
      <c r="M41" s="45"/>
      <c r="N41" s="45"/>
      <c r="O41" s="17"/>
      <c r="P41" s="17"/>
      <c r="Q41" s="10"/>
      <c r="X41" s="4"/>
      <c r="Y41" s="3"/>
    </row>
    <row r="42" spans="2:25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0"/>
      <c r="X42" s="4"/>
      <c r="Y42" s="3"/>
    </row>
    <row r="43" spans="2:25" ht="18.75" customHeight="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0"/>
    </row>
    <row r="44" spans="2:25" ht="18.75" customHeight="1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0"/>
    </row>
    <row r="45" spans="2:25" ht="18.75" customHeight="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0"/>
    </row>
    <row r="46" spans="2:25" ht="18.75" customHeight="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0"/>
    </row>
    <row r="47" spans="2:25" ht="18.75" customHeight="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0"/>
    </row>
    <row r="48" spans="2:25" ht="18.75" customHeight="1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0"/>
    </row>
    <row r="49" spans="2:17" ht="18.75" customHeight="1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9"/>
      <c r="L49" s="39"/>
      <c r="M49" s="39"/>
      <c r="N49" s="39"/>
      <c r="O49" s="39"/>
      <c r="P49" s="39"/>
      <c r="Q49" s="39"/>
    </row>
    <row r="50" spans="2:17" ht="18.75" customHeight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0"/>
    </row>
    <row r="51" spans="2:17" ht="18.75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0"/>
    </row>
    <row r="52" spans="2:17" ht="18.75" customHeight="1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0"/>
    </row>
    <row r="53" spans="2:17" ht="18.75" customHeight="1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0"/>
    </row>
    <row r="54" spans="2:17" ht="18.75" customHeight="1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0"/>
    </row>
    <row r="55" spans="2:17" ht="18.75" customHeight="1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0"/>
    </row>
    <row r="56" spans="2:17" ht="18.75" customHeight="1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0"/>
    </row>
    <row r="57" spans="2:17" ht="18.75" customHeight="1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32"/>
      <c r="L57" s="32"/>
      <c r="M57" s="32"/>
      <c r="N57" s="32"/>
      <c r="O57" s="32"/>
      <c r="P57" s="32"/>
      <c r="Q57" s="10"/>
    </row>
    <row r="58" spans="2:17" ht="18.75" customHeight="1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0"/>
    </row>
    <row r="59" spans="2:17" ht="18.75" customHeight="1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0"/>
    </row>
    <row r="60" spans="2:17" ht="18.75" customHeight="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0"/>
    </row>
    <row r="61" spans="2:17" ht="18.75" customHeight="1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0"/>
    </row>
    <row r="62" spans="2:17" ht="18.75" customHeight="1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0"/>
    </row>
    <row r="63" spans="2:17" ht="15.75" thickBot="1" x14ac:dyDescent="0.3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</row>
    <row r="64" spans="2:17" ht="28.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0"/>
    </row>
    <row r="65" spans="2:17" hidden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"/>
    </row>
    <row r="66" spans="2:17" hidden="1" x14ac:dyDescent="0.25">
      <c r="K66" s="3"/>
      <c r="L66" s="3"/>
      <c r="M66" s="3"/>
      <c r="N66" s="3"/>
      <c r="O66" s="3"/>
      <c r="P66" s="3"/>
      <c r="Q66" s="3"/>
    </row>
    <row r="67" spans="2:17" hidden="1" x14ac:dyDescent="0.25"/>
    <row r="68" spans="2:17" hidden="1" x14ac:dyDescent="0.25"/>
    <row r="69" spans="2:17" hidden="1" x14ac:dyDescent="0.25"/>
    <row r="70" spans="2:17" hidden="1" x14ac:dyDescent="0.25"/>
    <row r="71" spans="2:17" hidden="1" x14ac:dyDescent="0.25"/>
    <row r="72" spans="2:17" hidden="1" x14ac:dyDescent="0.25"/>
    <row r="73" spans="2:17" hidden="1" x14ac:dyDescent="0.25"/>
    <row r="74" spans="2:17" hidden="1" x14ac:dyDescent="0.25"/>
    <row r="75" spans="2:17" hidden="1" x14ac:dyDescent="0.25"/>
    <row r="76" spans="2:17" hidden="1" x14ac:dyDescent="0.25"/>
    <row r="77" spans="2:17" hidden="1" x14ac:dyDescent="0.25"/>
    <row r="78" spans="2:17" hidden="1" x14ac:dyDescent="0.25">
      <c r="B78" s="6"/>
    </row>
    <row r="79" spans="2:17" hidden="1" x14ac:dyDescent="0.25"/>
    <row r="80" spans="2:1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3:3" hidden="1" x14ac:dyDescent="0.25"/>
    <row r="98" spans="3:3" hidden="1" x14ac:dyDescent="0.25"/>
    <row r="99" spans="3:3" hidden="1" x14ac:dyDescent="0.25">
      <c r="C99" s="2"/>
    </row>
    <row r="100" spans="3:3" hidden="1" x14ac:dyDescent="0.25"/>
    <row r="101" spans="3:3" hidden="1" x14ac:dyDescent="0.25"/>
    <row r="102" spans="3:3" hidden="1" x14ac:dyDescent="0.25"/>
    <row r="103" spans="3:3" hidden="1" x14ac:dyDescent="0.25"/>
    <row r="104" spans="3:3" hidden="1" x14ac:dyDescent="0.25"/>
    <row r="105" spans="3:3" hidden="1" x14ac:dyDescent="0.25"/>
    <row r="106" spans="3:3" hidden="1" x14ac:dyDescent="0.25"/>
    <row r="107" spans="3:3" hidden="1" x14ac:dyDescent="0.25"/>
    <row r="108" spans="3:3" hidden="1" x14ac:dyDescent="0.25"/>
    <row r="109" spans="3:3" hidden="1" x14ac:dyDescent="0.25"/>
    <row r="110" spans="3:3" hidden="1" x14ac:dyDescent="0.25"/>
    <row r="111" spans="3:3" hidden="1" x14ac:dyDescent="0.25"/>
    <row r="112" spans="3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spans="12:13" hidden="1" x14ac:dyDescent="0.25"/>
    <row r="4898" spans="12:13" hidden="1" x14ac:dyDescent="0.25"/>
    <row r="4899" spans="12:13" hidden="1" x14ac:dyDescent="0.25"/>
    <row r="4900" spans="12:13" hidden="1" x14ac:dyDescent="0.25"/>
    <row r="4901" spans="12:13" hidden="1" x14ac:dyDescent="0.25"/>
    <row r="4902" spans="12:13" hidden="1" x14ac:dyDescent="0.25"/>
    <row r="4903" spans="12:13" hidden="1" x14ac:dyDescent="0.25"/>
    <row r="4904" spans="12:13" hidden="1" x14ac:dyDescent="0.25"/>
    <row r="4905" spans="12:13" hidden="1" x14ac:dyDescent="0.25"/>
    <row r="4906" spans="12:13" hidden="1" x14ac:dyDescent="0.25"/>
    <row r="4907" spans="12:13" hidden="1" x14ac:dyDescent="0.25"/>
    <row r="4908" spans="12:13" hidden="1" x14ac:dyDescent="0.25"/>
    <row r="4909" spans="12:13" hidden="1" x14ac:dyDescent="0.25"/>
    <row r="4910" spans="12:13" hidden="1" x14ac:dyDescent="0.25"/>
    <row r="4911" spans="12:13" hidden="1" x14ac:dyDescent="0.25"/>
    <row r="4912" spans="12:13" hidden="1" x14ac:dyDescent="0.25">
      <c r="L4912" s="46" t="s">
        <v>31</v>
      </c>
      <c r="M4912" s="46"/>
    </row>
  </sheetData>
  <sheetProtection password="DD37" sheet="1" objects="1" scenarios="1" formatCells="0" selectLockedCells="1"/>
  <mergeCells count="11">
    <mergeCell ref="C4:Q4"/>
    <mergeCell ref="K41:N41"/>
    <mergeCell ref="L4912:M4912"/>
    <mergeCell ref="K17:N17"/>
    <mergeCell ref="K19:N19"/>
    <mergeCell ref="K21:N21"/>
    <mergeCell ref="K9:L9"/>
    <mergeCell ref="K6:M6"/>
    <mergeCell ref="K33:M35"/>
    <mergeCell ref="K40:O40"/>
    <mergeCell ref="K39:O39"/>
  </mergeCells>
  <printOptions horizontalCentered="1" verticalCentered="1"/>
  <pageMargins left="0.16" right="0.11" top="0.22" bottom="0.19" header="0.16" footer="0.16"/>
  <pageSetup paperSize="9" scale="43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1</xdr:col>
                <xdr:colOff>47625</xdr:colOff>
                <xdr:row>3</xdr:row>
                <xdr:rowOff>76200</xdr:rowOff>
              </from>
              <to>
                <xdr:col>1</xdr:col>
                <xdr:colOff>552450</xdr:colOff>
                <xdr:row>3</xdr:row>
                <xdr:rowOff>533400</xdr:rowOff>
              </to>
            </anchor>
          </objectPr>
        </oleObject>
      </mc:Choice>
      <mc:Fallback>
        <oleObject progId="StaticMetafil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S294"/>
  <sheetViews>
    <sheetView topLeftCell="A197" workbookViewId="0">
      <selection activeCell="F224" sqref="F224"/>
    </sheetView>
  </sheetViews>
  <sheetFormatPr defaultRowHeight="15" x14ac:dyDescent="0.25"/>
  <cols>
    <col min="18" max="18" width="10.42578125" customWidth="1"/>
  </cols>
  <sheetData>
    <row r="2" spans="3:19" x14ac:dyDescent="0.25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3:19" x14ac:dyDescent="0.2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3:19" x14ac:dyDescent="0.25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3:19" x14ac:dyDescent="0.25">
      <c r="C5" s="33"/>
      <c r="D5" s="33"/>
      <c r="E5" s="33" t="s">
        <v>1</v>
      </c>
      <c r="F5" s="33" t="s">
        <v>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3:19" x14ac:dyDescent="0.25">
      <c r="C6" s="33"/>
      <c r="D6" s="33"/>
      <c r="E6" s="33">
        <v>206.92654928630199</v>
      </c>
      <c r="F6" s="33">
        <v>78.215746204799501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3:19" x14ac:dyDescent="0.25">
      <c r="C7" s="33"/>
      <c r="D7" s="33"/>
      <c r="E7" s="33">
        <v>299.54544269641701</v>
      </c>
      <c r="F7" s="33">
        <v>79.565741626040406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46" t="s">
        <v>7</v>
      </c>
      <c r="S7" s="33"/>
    </row>
    <row r="8" spans="3:19" x14ac:dyDescent="0.25">
      <c r="C8" s="33"/>
      <c r="D8" s="33"/>
      <c r="E8" s="33">
        <v>401.50155385250599</v>
      </c>
      <c r="F8" s="33">
        <v>80.709899671018604</v>
      </c>
      <c r="G8" s="33"/>
      <c r="H8" s="33"/>
      <c r="I8" s="33"/>
      <c r="J8" s="33"/>
      <c r="K8" s="33"/>
      <c r="L8" s="33"/>
      <c r="M8" s="33">
        <f>Sheet1!O15</f>
        <v>1209.6355371095951</v>
      </c>
      <c r="N8" s="33"/>
      <c r="O8" s="33"/>
      <c r="P8" s="33">
        <f>Sheet1!M15</f>
        <v>4613.4339371404112</v>
      </c>
      <c r="Q8" s="33"/>
      <c r="R8" s="46"/>
      <c r="S8" s="33"/>
    </row>
    <row r="9" spans="3:19" x14ac:dyDescent="0.25">
      <c r="C9" s="33"/>
      <c r="D9" s="33"/>
      <c r="E9" s="33">
        <v>502.02052619477899</v>
      </c>
      <c r="F9" s="33">
        <v>81.487816069770403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6"/>
      <c r="S9" s="33"/>
    </row>
    <row r="10" spans="3:19" x14ac:dyDescent="0.25">
      <c r="C10" s="33"/>
      <c r="D10" s="33"/>
      <c r="E10" s="33">
        <v>599.39832385545299</v>
      </c>
      <c r="F10" s="33">
        <v>82.163522749539894</v>
      </c>
      <c r="G10" s="33"/>
      <c r="H10" s="33"/>
      <c r="I10" s="33"/>
      <c r="J10" s="33"/>
      <c r="K10" s="33"/>
      <c r="L10" s="33"/>
      <c r="M10" s="33">
        <f>MATCH(M8,Sheet2!E38:E55)</f>
        <v>7</v>
      </c>
      <c r="N10" s="33" t="s">
        <v>3</v>
      </c>
      <c r="O10" s="33"/>
      <c r="P10" s="33">
        <f>MATCH(P8,Sheet2!E38:E55)</f>
        <v>13</v>
      </c>
      <c r="Q10" s="33" t="s">
        <v>0</v>
      </c>
      <c r="R10" s="46"/>
      <c r="S10" s="33"/>
    </row>
    <row r="11" spans="3:19" x14ac:dyDescent="0.25">
      <c r="C11" s="33"/>
      <c r="D11" s="33"/>
      <c r="E11" s="33">
        <v>699.28945936515299</v>
      </c>
      <c r="F11" s="33">
        <v>82.734892802879997</v>
      </c>
      <c r="G11" s="33"/>
      <c r="H11" s="33"/>
      <c r="I11" s="33">
        <f>MATCH(Sheet1!M9,Sheet2!E6:E26)</f>
        <v>15</v>
      </c>
      <c r="J11" s="33"/>
      <c r="K11" s="33"/>
      <c r="L11" s="33"/>
      <c r="M11" s="33"/>
      <c r="N11" s="33"/>
      <c r="O11" s="33"/>
      <c r="P11" s="33"/>
      <c r="Q11" s="33"/>
      <c r="R11" s="46"/>
      <c r="S11" s="33"/>
    </row>
    <row r="12" spans="3:19" x14ac:dyDescent="0.25">
      <c r="C12" s="33"/>
      <c r="D12" s="33"/>
      <c r="E12" s="33">
        <v>809.59765005698</v>
      </c>
      <c r="F12" s="33">
        <v>83.306971825369004</v>
      </c>
      <c r="G12" s="33"/>
      <c r="H12" s="33"/>
      <c r="I12" s="33"/>
      <c r="J12" s="33"/>
      <c r="K12" s="33"/>
      <c r="L12" s="33"/>
      <c r="M12" s="33">
        <f>(M8-INDEX(Sheet2!E38:E55,M10))/(INDEX(Sheet2!E38:E55,M10+1)-INDEX(Sheet2!E38:E55,M10))*(INDEX(Sheet2!F38:F55,M10+1)-INDEX(Sheet2!F38:F55,M10))+INDEX(Sheet2!F38:F55,M10)</f>
        <v>1.7675678928835601</v>
      </c>
      <c r="N12" s="33"/>
      <c r="O12" s="33"/>
      <c r="P12" s="33">
        <f>(P8-INDEX(Sheet2!E38:E55,P10))/(INDEX(Sheet2!E38:E55,P10+1)-INDEX(Sheet2!E38:E55,P10))*(INDEX(Sheet2!F38:F55,P10+1)-INDEX(Sheet2!F38:F55,P10))+INDEX(Sheet2!F38:F55,P10)</f>
        <v>0.93798859359867182</v>
      </c>
      <c r="Q12" s="33"/>
      <c r="R12" s="46"/>
      <c r="S12" s="33"/>
    </row>
    <row r="13" spans="3:19" x14ac:dyDescent="0.25">
      <c r="C13" s="33"/>
      <c r="D13" s="33"/>
      <c r="E13" s="33">
        <v>1004.40598825267</v>
      </c>
      <c r="F13" s="33">
        <v>83.979133659393497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3:19" x14ac:dyDescent="0.25">
      <c r="C14" s="33"/>
      <c r="D14" s="33" t="s">
        <v>0</v>
      </c>
      <c r="E14" s="33">
        <v>1377.38839997378</v>
      </c>
      <c r="F14" s="33">
        <v>85.014701263048195</v>
      </c>
      <c r="G14" s="33"/>
      <c r="H14" s="33"/>
      <c r="I14" s="33"/>
      <c r="J14" s="33"/>
      <c r="K14" s="33"/>
      <c r="L14" s="33"/>
      <c r="M14" s="33">
        <f>Sheet1!M9</f>
        <v>19000</v>
      </c>
      <c r="N14" s="33"/>
      <c r="O14" s="33">
        <f>Sheet1!O9</f>
        <v>9000</v>
      </c>
      <c r="P14" s="33"/>
      <c r="Q14" s="33"/>
      <c r="R14" s="51" t="s">
        <v>21</v>
      </c>
      <c r="S14" s="33"/>
    </row>
    <row r="15" spans="3:19" x14ac:dyDescent="0.25">
      <c r="C15" s="33"/>
      <c r="D15" s="33"/>
      <c r="E15" s="33">
        <v>2024.4000311472701</v>
      </c>
      <c r="F15" s="33">
        <v>86.256815212114702</v>
      </c>
      <c r="G15" s="33"/>
      <c r="H15" s="33"/>
      <c r="I15" s="33"/>
      <c r="J15" s="33"/>
      <c r="K15" s="33"/>
      <c r="L15" s="33"/>
      <c r="M15" s="33"/>
      <c r="N15" s="33" t="s">
        <v>0</v>
      </c>
      <c r="O15" s="33"/>
      <c r="P15" s="33" t="s">
        <v>3</v>
      </c>
      <c r="Q15" s="33"/>
      <c r="R15" s="51"/>
      <c r="S15" s="33"/>
    </row>
    <row r="16" spans="3:19" x14ac:dyDescent="0.25">
      <c r="C16" s="33"/>
      <c r="D16" s="33"/>
      <c r="E16" s="33">
        <v>3020.8534891500399</v>
      </c>
      <c r="F16" s="33">
        <v>87.391047689006697</v>
      </c>
      <c r="G16" s="33"/>
      <c r="H16" s="33"/>
      <c r="I16" s="33"/>
      <c r="J16" s="33"/>
      <c r="K16" s="33"/>
      <c r="L16" s="33"/>
      <c r="M16" s="33">
        <f>MATCH(M14,Sheet2!E68:E77)</f>
        <v>8</v>
      </c>
      <c r="N16" s="33"/>
      <c r="O16" s="33">
        <f>MATCH(O14,Sheet2!E68:E77)</f>
        <v>7</v>
      </c>
      <c r="P16" s="33"/>
      <c r="Q16" s="33"/>
      <c r="R16" s="51"/>
      <c r="S16" s="33"/>
    </row>
    <row r="17" spans="3:19" x14ac:dyDescent="0.25">
      <c r="C17" s="33"/>
      <c r="D17" s="33"/>
      <c r="E17" s="33">
        <v>4015.7347618219501</v>
      </c>
      <c r="F17" s="33">
        <v>88.110060567628196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3:19" x14ac:dyDescent="0.25">
      <c r="C18" s="33"/>
      <c r="D18" s="33"/>
      <c r="E18" s="33">
        <v>5058.6074810357904</v>
      </c>
      <c r="F18" s="33">
        <v>88.727572696416402</v>
      </c>
      <c r="G18" s="33"/>
      <c r="H18" s="33"/>
      <c r="I18" s="33"/>
      <c r="J18" s="33"/>
      <c r="K18" s="33"/>
      <c r="L18" s="33"/>
      <c r="M18" s="34">
        <f>Sheet1!M25-Sheet2!N22</f>
        <v>91.093216470607942</v>
      </c>
      <c r="N18" s="33"/>
      <c r="O18" s="35">
        <f>Sheet1!M26+Sheet2!N24</f>
        <v>83.400547913260368</v>
      </c>
      <c r="P18" s="33"/>
      <c r="Q18" s="33"/>
      <c r="R18" s="33"/>
      <c r="S18" s="33"/>
    </row>
    <row r="19" spans="3:19" x14ac:dyDescent="0.25">
      <c r="C19" s="33"/>
      <c r="D19" s="33"/>
      <c r="E19" s="33">
        <v>6083.5805955615197</v>
      </c>
      <c r="F19" s="33">
        <v>89.083179805407596</v>
      </c>
      <c r="G19" s="33"/>
      <c r="H19" s="33"/>
      <c r="I19" s="33"/>
      <c r="J19" s="33"/>
      <c r="K19" s="33"/>
      <c r="L19" s="33"/>
      <c r="M19" s="35">
        <f>Sheet1!M25+Sheet2!N22</f>
        <v>87.696674566609275</v>
      </c>
      <c r="N19" s="33"/>
      <c r="O19" s="35">
        <f>Sheet1!M26-Sheet2!N24</f>
        <v>87.576341247515188</v>
      </c>
      <c r="P19" s="33"/>
      <c r="Q19" s="33"/>
      <c r="R19" s="33"/>
      <c r="S19" s="33"/>
    </row>
    <row r="20" spans="3:19" x14ac:dyDescent="0.25">
      <c r="C20" s="33"/>
      <c r="D20" s="33"/>
      <c r="E20" s="33">
        <v>10102.7343776862</v>
      </c>
      <c r="F20" s="33">
        <v>89.941327879522504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3:19" x14ac:dyDescent="0.25">
      <c r="C21" s="33"/>
      <c r="D21" s="33"/>
      <c r="E21" s="33">
        <v>30746.130636058399</v>
      </c>
      <c r="F21" s="33">
        <v>90.849930924741898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3:19" x14ac:dyDescent="0.25">
      <c r="C22" s="33"/>
      <c r="D22" s="33"/>
      <c r="E22" s="33">
        <v>41146.4715666661</v>
      </c>
      <c r="F22" s="33">
        <v>90.876221864017694</v>
      </c>
      <c r="G22" s="33"/>
      <c r="H22" s="33"/>
      <c r="I22" s="33"/>
      <c r="J22" s="33"/>
      <c r="K22" s="33"/>
      <c r="L22" s="33"/>
      <c r="M22" s="33"/>
      <c r="N22" s="36">
        <f>(Sheet2!M14-INDEX(Sheet2!E68:E77,Sheet2!M16))/(INDEX(Sheet2!E68:E77,Sheet2!M16+1)-INDEX(Sheet2!E68:E77,Sheet2!M16))*(INDEX(Sheet2!F68:F77,Sheet2!M16+1)-INDEX(Sheet2!F68:F77,Sheet2!M16))+INDEX(Sheet2!F68:F77,Sheet2!M16)</f>
        <v>-1.6982709519993302</v>
      </c>
      <c r="O22" s="33"/>
      <c r="P22" s="35">
        <f>-Sheet2!N22</f>
        <v>1.6982709519993302</v>
      </c>
      <c r="Q22" s="33"/>
      <c r="R22" s="33"/>
      <c r="S22" s="33"/>
    </row>
    <row r="23" spans="3:19" x14ac:dyDescent="0.25">
      <c r="C23" s="33"/>
      <c r="D23" s="33"/>
      <c r="E23" s="33">
        <v>50993.841719583797</v>
      </c>
      <c r="F23" s="33">
        <v>90.803138960907205</v>
      </c>
      <c r="G23" s="33"/>
      <c r="H23" s="33"/>
      <c r="I23" s="33"/>
      <c r="J23" s="33"/>
      <c r="K23" s="33"/>
      <c r="L23" s="33"/>
      <c r="M23" s="33"/>
      <c r="N23" s="33"/>
      <c r="O23" s="33"/>
      <c r="P23" s="35">
        <f>-Sheet2!N24</f>
        <v>2.0878966671274153</v>
      </c>
      <c r="Q23" s="33"/>
      <c r="R23" s="33"/>
      <c r="S23" s="33"/>
    </row>
    <row r="24" spans="3:19" x14ac:dyDescent="0.25">
      <c r="C24" s="33"/>
      <c r="D24" s="33"/>
      <c r="E24" s="33">
        <v>71455.402248908198</v>
      </c>
      <c r="F24" s="33">
        <v>90.825176085289002</v>
      </c>
      <c r="G24" s="33"/>
      <c r="H24" s="33"/>
      <c r="I24" s="33"/>
      <c r="J24" s="33"/>
      <c r="K24" s="33"/>
      <c r="L24" s="33"/>
      <c r="M24" s="33"/>
      <c r="N24" s="37">
        <f>(Sheet2!O14-INDEX(Sheet2!E68:E77,Sheet2!O16))/(INDEX(Sheet2!E68:E77,Sheet2!O16+1)-INDEX(Sheet2!E68:E77,Sheet2!O16))*(INDEX(Sheet2!F68:F77,Sheet2!O16+1)-INDEX(Sheet2!F68:F77,Sheet2!O16))+INDEX(Sheet2!F68:F77,Sheet2!O16)</f>
        <v>-2.0878966671274153</v>
      </c>
      <c r="O24" s="33"/>
      <c r="P24" s="33"/>
      <c r="Q24" s="33"/>
      <c r="R24" s="33"/>
      <c r="S24" s="33"/>
    </row>
    <row r="25" spans="3:19" x14ac:dyDescent="0.25">
      <c r="C25" s="33"/>
      <c r="D25" s="33"/>
      <c r="E25" s="33">
        <v>92030.375609472205</v>
      </c>
      <c r="F25" s="33">
        <v>90.855011870309795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3:19" x14ac:dyDescent="0.25">
      <c r="C26" s="33"/>
      <c r="D26" s="33"/>
      <c r="E26" s="33">
        <v>100149.75435111301</v>
      </c>
      <c r="F26" s="33">
        <v>91.006908510485303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3:19" x14ac:dyDescent="0.2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3:19" x14ac:dyDescent="0.25">
      <c r="C28" s="33"/>
      <c r="D28" s="33"/>
      <c r="E28" s="33" t="s">
        <v>1</v>
      </c>
      <c r="F28" s="33" t="s">
        <v>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3:19" x14ac:dyDescent="0.25">
      <c r="C29" s="33"/>
      <c r="D29" s="33"/>
      <c r="E29" s="33">
        <v>5039.3412269667397</v>
      </c>
      <c r="F29" s="33">
        <v>86.012752582567799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3:19" x14ac:dyDescent="0.25">
      <c r="C30" s="33"/>
      <c r="D30" s="33"/>
      <c r="E30" s="33">
        <v>8117.7208831684902</v>
      </c>
      <c r="F30" s="33">
        <v>87.033431834093307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3:19" x14ac:dyDescent="0.25">
      <c r="C31" s="33"/>
      <c r="D31" s="33" t="s">
        <v>3</v>
      </c>
      <c r="E31" s="33">
        <v>10146.257656711699</v>
      </c>
      <c r="F31" s="33">
        <v>87.545189398154093</v>
      </c>
      <c r="G31" s="33"/>
      <c r="H31" s="33"/>
      <c r="I31" s="33">
        <f>MATCH(Sheet1!O9,Sheet2!E29:E35)</f>
        <v>2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3:19" x14ac:dyDescent="0.25">
      <c r="C32" s="33"/>
      <c r="D32" s="33"/>
      <c r="E32" s="33">
        <v>20576.5349070054</v>
      </c>
      <c r="F32" s="33">
        <v>88.757526642962105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3:19" x14ac:dyDescent="0.25">
      <c r="C33" s="33"/>
      <c r="D33" s="33"/>
      <c r="E33" s="33">
        <v>30674.898976103999</v>
      </c>
      <c r="F33" s="33">
        <v>89.1997461496574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3:19" x14ac:dyDescent="0.25">
      <c r="C34" s="33"/>
      <c r="D34" s="33"/>
      <c r="E34" s="33">
        <v>50921.400268447898</v>
      </c>
      <c r="F34" s="33">
        <v>89.791735389081296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3:19" x14ac:dyDescent="0.25">
      <c r="C35" s="33"/>
      <c r="D35" s="33"/>
      <c r="E35" s="33">
        <v>101582.962467178</v>
      </c>
      <c r="F35" s="33">
        <v>90.207014068114205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3:19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3:19" x14ac:dyDescent="0.25">
      <c r="C37" s="33"/>
      <c r="D37" s="33"/>
      <c r="E37" s="33" t="s">
        <v>1</v>
      </c>
      <c r="F37" s="33" t="s">
        <v>2</v>
      </c>
      <c r="G37" s="33"/>
      <c r="H37" s="33"/>
      <c r="I37" s="33"/>
      <c r="J37" s="33"/>
      <c r="K37" s="33" t="s">
        <v>1</v>
      </c>
      <c r="L37" s="33" t="s">
        <v>2</v>
      </c>
      <c r="M37" s="33"/>
      <c r="N37" s="33"/>
      <c r="O37" s="33"/>
      <c r="P37" s="33"/>
      <c r="Q37" s="33"/>
      <c r="R37" s="33"/>
      <c r="S37" s="33"/>
    </row>
    <row r="38" spans="3:19" x14ac:dyDescent="0.25">
      <c r="C38" s="33"/>
      <c r="D38" s="33"/>
      <c r="E38" s="33">
        <v>685.63837258088301</v>
      </c>
      <c r="F38" s="33">
        <v>4.9980162415803804</v>
      </c>
      <c r="G38" s="33"/>
      <c r="H38" s="33"/>
      <c r="I38" s="33"/>
      <c r="J38" s="33"/>
      <c r="K38" s="33">
        <v>100</v>
      </c>
      <c r="L38" s="33">
        <v>59.458205127699699</v>
      </c>
      <c r="M38" s="33"/>
      <c r="N38" s="33"/>
      <c r="O38" s="33"/>
      <c r="P38" s="33"/>
      <c r="Q38" s="33"/>
      <c r="R38" s="33"/>
      <c r="S38" s="33"/>
    </row>
    <row r="39" spans="3:19" x14ac:dyDescent="0.25">
      <c r="C39" s="33"/>
      <c r="D39" s="33"/>
      <c r="E39" s="33">
        <v>716.33800944365203</v>
      </c>
      <c r="F39" s="33">
        <v>4.7037991245214696</v>
      </c>
      <c r="G39" s="33"/>
      <c r="H39" s="33"/>
      <c r="I39" s="33"/>
      <c r="J39" s="33"/>
      <c r="K39" s="33">
        <v>123.322576680737</v>
      </c>
      <c r="L39" s="33">
        <v>61.943190038693203</v>
      </c>
      <c r="M39" s="33"/>
      <c r="N39" s="33"/>
      <c r="O39" s="33"/>
      <c r="P39" s="33"/>
      <c r="Q39" s="33"/>
      <c r="R39" s="33"/>
      <c r="S39" s="33"/>
    </row>
    <row r="40" spans="3:19" x14ac:dyDescent="0.25">
      <c r="C40" s="33"/>
      <c r="D40" s="33"/>
      <c r="E40" s="33">
        <v>745.04301394583899</v>
      </c>
      <c r="F40" s="33">
        <v>4.50755342518858</v>
      </c>
      <c r="G40" s="33"/>
      <c r="H40" s="33"/>
      <c r="I40" s="33"/>
      <c r="J40" s="33"/>
      <c r="K40" s="33">
        <v>135.38944529387101</v>
      </c>
      <c r="L40" s="33">
        <v>63.000268073791197</v>
      </c>
      <c r="M40" s="33"/>
      <c r="N40" s="33"/>
      <c r="O40" s="33"/>
      <c r="P40" s="33"/>
      <c r="Q40" s="33"/>
      <c r="R40" s="33"/>
      <c r="S40" s="33"/>
    </row>
    <row r="41" spans="3:19" x14ac:dyDescent="0.25">
      <c r="C41" s="33"/>
      <c r="D41" s="33"/>
      <c r="E41" s="33">
        <v>809.59455425464205</v>
      </c>
      <c r="F41" s="33">
        <v>4.0170906087967797</v>
      </c>
      <c r="G41" s="33"/>
      <c r="H41" s="33"/>
      <c r="I41" s="33"/>
      <c r="J41" s="33"/>
      <c r="K41" s="33">
        <v>161.90166138831299</v>
      </c>
      <c r="L41" s="33">
        <v>64.9552947530468</v>
      </c>
      <c r="M41" s="33"/>
      <c r="N41" s="33"/>
      <c r="O41" s="33"/>
      <c r="P41" s="33"/>
      <c r="Q41" s="33"/>
      <c r="R41" s="33"/>
      <c r="S41" s="33"/>
    </row>
    <row r="42" spans="3:19" x14ac:dyDescent="0.25">
      <c r="C42" s="33"/>
      <c r="D42" s="33"/>
      <c r="E42" s="33">
        <v>879.49969403787804</v>
      </c>
      <c r="F42" s="33">
        <v>3.50934940800206</v>
      </c>
      <c r="G42" s="33"/>
      <c r="H42" s="33"/>
      <c r="I42" s="33"/>
      <c r="J42" s="33"/>
      <c r="K42" s="33">
        <v>195.10868811319699</v>
      </c>
      <c r="L42" s="33">
        <v>66.962891491219594</v>
      </c>
      <c r="M42" s="33"/>
      <c r="N42" s="33"/>
      <c r="O42" s="33"/>
      <c r="P42" s="33"/>
      <c r="Q42" s="33"/>
      <c r="R42" s="33"/>
      <c r="S42" s="33"/>
    </row>
    <row r="43" spans="3:19" x14ac:dyDescent="0.25">
      <c r="C43" s="33"/>
      <c r="D43" s="33"/>
      <c r="E43" s="33">
        <v>1010.4708204551901</v>
      </c>
      <c r="F43" s="33">
        <v>2.7130294060637299</v>
      </c>
      <c r="G43" s="33"/>
      <c r="H43" s="33"/>
      <c r="I43" s="33"/>
      <c r="J43" s="33" t="s">
        <v>26</v>
      </c>
      <c r="K43" s="33">
        <v>258.09821259255699</v>
      </c>
      <c r="L43" s="33">
        <v>69.921006932467094</v>
      </c>
      <c r="M43" s="33"/>
      <c r="N43" s="33">
        <f>MATCH(Sheet1!Q9,Sheet2!K38:K50)</f>
        <v>12</v>
      </c>
      <c r="O43" s="33"/>
      <c r="P43" s="33"/>
      <c r="Q43" s="33"/>
      <c r="R43" s="33"/>
      <c r="S43" s="33"/>
    </row>
    <row r="44" spans="3:19" x14ac:dyDescent="0.25">
      <c r="C44" s="33"/>
      <c r="D44" s="33"/>
      <c r="E44" s="33">
        <v>1148.7445743102201</v>
      </c>
      <c r="F44" s="33">
        <v>2.0147413946275901</v>
      </c>
      <c r="G44" s="33"/>
      <c r="H44" s="33"/>
      <c r="I44" s="33"/>
      <c r="J44" s="33"/>
      <c r="K44" s="33">
        <v>313.45060127226702</v>
      </c>
      <c r="L44" s="33">
        <v>71.9811737295569</v>
      </c>
      <c r="M44" s="33"/>
      <c r="N44" s="33"/>
      <c r="O44" s="33"/>
      <c r="P44" s="33"/>
      <c r="Q44" s="33"/>
      <c r="R44" s="33"/>
      <c r="S44" s="33"/>
    </row>
    <row r="45" spans="3:19" x14ac:dyDescent="0.25">
      <c r="C45" s="33"/>
      <c r="D45" s="33"/>
      <c r="E45" s="33">
        <v>1271.0332381518799</v>
      </c>
      <c r="F45" s="33">
        <v>1.51833739843964</v>
      </c>
      <c r="G45" s="33"/>
      <c r="H45" s="33"/>
      <c r="I45" s="33"/>
      <c r="J45" s="33"/>
      <c r="K45" s="33">
        <v>440.900896585071</v>
      </c>
      <c r="L45" s="33">
        <v>74.986891980059994</v>
      </c>
      <c r="M45" s="33"/>
      <c r="N45" s="33"/>
      <c r="O45" s="33"/>
      <c r="P45" s="33"/>
      <c r="Q45" s="33"/>
      <c r="R45" s="33"/>
      <c r="S45" s="33"/>
    </row>
    <row r="46" spans="3:19" x14ac:dyDescent="0.25">
      <c r="C46" s="33"/>
      <c r="D46" s="33" t="s">
        <v>4</v>
      </c>
      <c r="E46" s="33">
        <v>1440.6762737681499</v>
      </c>
      <c r="F46" s="33">
        <v>1.01593164967936</v>
      </c>
      <c r="G46" s="33"/>
      <c r="H46" s="33"/>
      <c r="I46" s="33"/>
      <c r="J46" s="33"/>
      <c r="K46" s="33">
        <v>596.40519861004805</v>
      </c>
      <c r="L46" s="33">
        <v>77.410081939908096</v>
      </c>
      <c r="M46" s="33"/>
      <c r="N46" s="33"/>
      <c r="O46" s="33"/>
      <c r="P46" s="33"/>
      <c r="Q46" s="33"/>
      <c r="R46" s="33"/>
      <c r="S46" s="33"/>
    </row>
    <row r="47" spans="3:19" x14ac:dyDescent="0.25">
      <c r="C47" s="33"/>
      <c r="D47" s="33"/>
      <c r="E47" s="33">
        <v>1672.6789420259499</v>
      </c>
      <c r="F47" s="33">
        <v>0.50176468687912901</v>
      </c>
      <c r="G47" s="33"/>
      <c r="H47" s="33"/>
      <c r="I47" s="33"/>
      <c r="J47" s="33"/>
      <c r="K47" s="33">
        <v>993.69303012351497</v>
      </c>
      <c r="L47" s="33">
        <v>80.932985494448303</v>
      </c>
      <c r="M47" s="33"/>
      <c r="N47" s="33"/>
      <c r="O47" s="33"/>
      <c r="P47" s="33"/>
      <c r="Q47" s="33"/>
      <c r="R47" s="33"/>
      <c r="S47" s="33"/>
    </row>
    <row r="48" spans="3:19" x14ac:dyDescent="0.25">
      <c r="C48" s="33"/>
      <c r="D48" s="33"/>
      <c r="E48" s="33">
        <v>2474.7494210448299</v>
      </c>
      <c r="F48" s="33">
        <v>2.4531974349448699E-3</v>
      </c>
      <c r="G48" s="33"/>
      <c r="H48" s="33"/>
      <c r="I48" s="33"/>
      <c r="J48" s="33"/>
      <c r="K48" s="33">
        <v>2004.1395707578199</v>
      </c>
      <c r="L48" s="33">
        <v>83.958631877521796</v>
      </c>
      <c r="M48" s="33"/>
      <c r="N48" s="33"/>
      <c r="O48" s="33"/>
      <c r="P48" s="33"/>
      <c r="Q48" s="33"/>
      <c r="R48" s="33"/>
      <c r="S48" s="33"/>
    </row>
    <row r="49" spans="3:19" x14ac:dyDescent="0.25">
      <c r="C49" s="33"/>
      <c r="D49" s="33"/>
      <c r="E49" s="33">
        <v>3403.18461623134</v>
      </c>
      <c r="F49" s="33">
        <v>0.241200794714823</v>
      </c>
      <c r="G49" s="33"/>
      <c r="H49" s="33"/>
      <c r="I49" s="33"/>
      <c r="J49" s="33"/>
      <c r="K49" s="33">
        <v>2990.8016708340501</v>
      </c>
      <c r="L49" s="33">
        <v>85.253723958897993</v>
      </c>
      <c r="M49" s="33"/>
      <c r="N49" s="33"/>
      <c r="O49" s="33"/>
      <c r="P49" s="33"/>
      <c r="Q49" s="33"/>
      <c r="R49" s="33"/>
      <c r="S49" s="33"/>
    </row>
    <row r="50" spans="3:19" x14ac:dyDescent="0.25">
      <c r="C50" s="33"/>
      <c r="D50" s="33"/>
      <c r="E50" s="33">
        <v>3975.7411193378098</v>
      </c>
      <c r="F50" s="33">
        <v>0.50462170282188301</v>
      </c>
      <c r="G50" s="33"/>
      <c r="H50" s="33"/>
      <c r="I50" s="33"/>
      <c r="J50" s="33"/>
      <c r="K50" s="33">
        <v>5007.43628929652</v>
      </c>
      <c r="L50" s="33">
        <v>86.591451599868293</v>
      </c>
      <c r="M50" s="33"/>
      <c r="N50" s="33"/>
      <c r="O50" s="33"/>
      <c r="P50" s="33"/>
      <c r="Q50" s="33"/>
      <c r="R50" s="33"/>
      <c r="S50" s="33"/>
    </row>
    <row r="51" spans="3:19" x14ac:dyDescent="0.25">
      <c r="C51" s="33"/>
      <c r="D51" s="33"/>
      <c r="E51" s="33">
        <v>4719.1310674033002</v>
      </c>
      <c r="F51" s="33">
        <v>1.0098188470173901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3:19" x14ac:dyDescent="0.25">
      <c r="C52" s="33"/>
      <c r="D52" s="33"/>
      <c r="E52" s="33">
        <v>5369.1306492739704</v>
      </c>
      <c r="F52" s="33">
        <v>1.51544000064611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3:19" x14ac:dyDescent="0.25">
      <c r="C53" s="33"/>
      <c r="D53" s="33"/>
      <c r="E53" s="33">
        <v>5961.9880089804501</v>
      </c>
      <c r="F53" s="33">
        <v>2.0155439839118698</v>
      </c>
      <c r="G53" s="33"/>
      <c r="H53" s="33"/>
      <c r="I53" s="33"/>
      <c r="J53" s="33"/>
      <c r="K53" s="33">
        <v>685.63837258088301</v>
      </c>
      <c r="L53" s="33">
        <v>4.9980162415803804</v>
      </c>
      <c r="M53" s="33"/>
      <c r="N53" s="33">
        <f>Sheet1!Q15</f>
        <v>1068.9996819314883</v>
      </c>
      <c r="O53" s="33"/>
      <c r="P53" s="33"/>
      <c r="Q53" s="33"/>
      <c r="R53" s="33"/>
      <c r="S53" s="33"/>
    </row>
    <row r="54" spans="3:19" x14ac:dyDescent="0.25">
      <c r="C54" s="33"/>
      <c r="D54" s="33"/>
      <c r="E54" s="33">
        <v>6620.9086640319101</v>
      </c>
      <c r="F54" s="33">
        <v>2.5214074286452601</v>
      </c>
      <c r="G54" s="33"/>
      <c r="H54" s="33"/>
      <c r="I54" s="33"/>
      <c r="J54" s="33"/>
      <c r="K54" s="33">
        <v>716.33800944365203</v>
      </c>
      <c r="L54" s="33">
        <v>4.7037991245214696</v>
      </c>
      <c r="M54" s="33"/>
      <c r="N54" s="33"/>
      <c r="O54" s="33"/>
      <c r="P54" s="33"/>
      <c r="Q54" s="33"/>
      <c r="R54" s="33"/>
      <c r="S54" s="33"/>
    </row>
    <row r="55" spans="3:19" x14ac:dyDescent="0.25">
      <c r="C55" s="33"/>
      <c r="D55" s="33"/>
      <c r="E55" s="33">
        <v>7356.6539748833702</v>
      </c>
      <c r="F55" s="33">
        <v>3.0618276421844901</v>
      </c>
      <c r="G55" s="33"/>
      <c r="H55" s="33"/>
      <c r="I55" s="33"/>
      <c r="J55" s="33"/>
      <c r="K55" s="33">
        <v>745.04301394583899</v>
      </c>
      <c r="L55" s="33">
        <v>4.50755342518858</v>
      </c>
      <c r="M55" s="33"/>
      <c r="N55" s="38">
        <f>MATCH(N53,K53:K70)</f>
        <v>6</v>
      </c>
      <c r="O55" s="33"/>
      <c r="P55" s="33"/>
      <c r="Q55" s="33"/>
      <c r="R55" s="33"/>
      <c r="S55" s="33"/>
    </row>
    <row r="56" spans="3:19" x14ac:dyDescent="0.25">
      <c r="C56" s="33"/>
      <c r="D56" s="33"/>
      <c r="E56" s="33"/>
      <c r="F56" s="33"/>
      <c r="G56" s="33"/>
      <c r="H56" s="33"/>
      <c r="I56" s="33"/>
      <c r="J56" s="33"/>
      <c r="K56" s="33">
        <v>809.59455425464205</v>
      </c>
      <c r="L56" s="33">
        <v>4.0170906087967797</v>
      </c>
      <c r="M56" s="33"/>
      <c r="N56" s="33"/>
      <c r="O56" s="33"/>
      <c r="P56" s="33"/>
      <c r="Q56" s="33"/>
      <c r="R56" s="33"/>
      <c r="S56" s="33"/>
    </row>
    <row r="57" spans="3:19" x14ac:dyDescent="0.25">
      <c r="C57" s="33"/>
      <c r="D57" s="33"/>
      <c r="E57" s="33"/>
      <c r="F57" s="33"/>
      <c r="G57" s="33"/>
      <c r="H57" s="33"/>
      <c r="I57" s="33"/>
      <c r="J57" s="33"/>
      <c r="K57" s="33">
        <v>879.49969403787804</v>
      </c>
      <c r="L57" s="33">
        <v>3.50934940800206</v>
      </c>
      <c r="M57" s="33"/>
      <c r="N57" s="33">
        <f>(N53-INDEX(K53:K70,N55))/(INDEX(K53:K70,N55+1)-INDEX(K53:K70,N55))*(INDEX(L53:L70,N55+1)-INDEX(L53:L70,N55))+INDEX(L53:L70,N55)</f>
        <v>2.4174563044991708</v>
      </c>
      <c r="O57" s="33"/>
      <c r="P57" s="33"/>
      <c r="Q57" s="33"/>
      <c r="R57" s="33"/>
      <c r="S57" s="33"/>
    </row>
    <row r="58" spans="3:19" x14ac:dyDescent="0.25">
      <c r="C58" s="33"/>
      <c r="D58" s="33"/>
      <c r="E58" s="33"/>
      <c r="F58" s="33"/>
      <c r="G58" s="33"/>
      <c r="H58" s="33"/>
      <c r="I58" s="33"/>
      <c r="J58" s="33"/>
      <c r="K58" s="33">
        <v>1010.4708204551901</v>
      </c>
      <c r="L58" s="33">
        <v>2.7130294060637299</v>
      </c>
      <c r="M58" s="33"/>
      <c r="N58" s="33"/>
      <c r="O58" s="33"/>
      <c r="P58" s="33"/>
      <c r="Q58" s="33"/>
      <c r="R58" s="33"/>
      <c r="S58" s="33"/>
    </row>
    <row r="59" spans="3:19" x14ac:dyDescent="0.25">
      <c r="C59" s="33"/>
      <c r="D59" s="33"/>
      <c r="E59" s="33"/>
      <c r="F59" s="33"/>
      <c r="G59" s="33"/>
      <c r="H59" s="33"/>
      <c r="I59" s="33"/>
      <c r="J59" s="33" t="s">
        <v>26</v>
      </c>
      <c r="K59" s="33">
        <v>1148.7445743102201</v>
      </c>
      <c r="L59" s="33">
        <v>2.0147413946275901</v>
      </c>
      <c r="M59" s="33"/>
      <c r="N59" s="33"/>
      <c r="O59" s="33"/>
      <c r="P59" s="33"/>
      <c r="Q59" s="33"/>
      <c r="R59" s="33"/>
      <c r="S59" s="33"/>
    </row>
    <row r="60" spans="3:19" x14ac:dyDescent="0.25">
      <c r="C60" s="33"/>
      <c r="D60" s="33"/>
      <c r="E60" s="33"/>
      <c r="F60" s="33"/>
      <c r="G60" s="33"/>
      <c r="H60" s="33"/>
      <c r="I60" s="33"/>
      <c r="J60" s="33"/>
      <c r="K60" s="33">
        <v>1271.0332381518799</v>
      </c>
      <c r="L60" s="33">
        <v>1.51833739843964</v>
      </c>
      <c r="M60" s="33"/>
      <c r="N60" s="33"/>
      <c r="O60" s="33"/>
      <c r="P60" s="33"/>
      <c r="Q60" s="33"/>
      <c r="R60" s="33"/>
      <c r="S60" s="33"/>
    </row>
    <row r="61" spans="3:19" x14ac:dyDescent="0.25">
      <c r="C61" s="33"/>
      <c r="D61" s="33"/>
      <c r="E61" s="33"/>
      <c r="F61" s="33"/>
      <c r="G61" s="33"/>
      <c r="H61" s="33"/>
      <c r="I61" s="33"/>
      <c r="J61" s="33"/>
      <c r="K61" s="33">
        <v>1440.6762737681499</v>
      </c>
      <c r="L61" s="33">
        <v>1.01593164967936</v>
      </c>
      <c r="M61" s="33"/>
      <c r="N61" s="33"/>
      <c r="O61" s="33"/>
      <c r="P61" s="33"/>
      <c r="Q61" s="33"/>
      <c r="R61" s="33"/>
      <c r="S61" s="33"/>
    </row>
    <row r="62" spans="3:19" x14ac:dyDescent="0.25">
      <c r="C62" s="33"/>
      <c r="D62" s="33"/>
      <c r="E62" s="33"/>
      <c r="F62" s="33"/>
      <c r="G62" s="33"/>
      <c r="H62" s="33"/>
      <c r="I62" s="33"/>
      <c r="J62" s="33"/>
      <c r="K62" s="33">
        <v>1672.6789420259499</v>
      </c>
      <c r="L62" s="33">
        <v>0.50176468687912901</v>
      </c>
      <c r="M62" s="33"/>
      <c r="N62" s="33"/>
      <c r="O62" s="33"/>
      <c r="P62" s="33"/>
      <c r="Q62" s="33"/>
      <c r="R62" s="33"/>
      <c r="S62" s="33"/>
    </row>
    <row r="63" spans="3:19" x14ac:dyDescent="0.25">
      <c r="C63" s="33"/>
      <c r="D63" s="33"/>
      <c r="E63" s="33"/>
      <c r="F63" s="33"/>
      <c r="G63" s="33"/>
      <c r="H63" s="33"/>
      <c r="I63" s="33"/>
      <c r="J63" s="33"/>
      <c r="K63" s="33">
        <v>2474.7494210448299</v>
      </c>
      <c r="L63" s="33">
        <v>2.4531974349448699E-3</v>
      </c>
      <c r="M63" s="33"/>
      <c r="N63" s="33"/>
      <c r="O63" s="33"/>
      <c r="P63" s="33"/>
      <c r="Q63" s="33"/>
      <c r="R63" s="33"/>
      <c r="S63" s="33"/>
    </row>
    <row r="64" spans="3:19" x14ac:dyDescent="0.25">
      <c r="C64" s="33"/>
      <c r="D64" s="33"/>
      <c r="E64" s="33"/>
      <c r="F64" s="33"/>
      <c r="G64" s="33"/>
      <c r="H64" s="33"/>
      <c r="I64" s="33"/>
      <c r="J64" s="33"/>
      <c r="K64" s="33">
        <v>3403.18461623134</v>
      </c>
      <c r="L64" s="33">
        <v>0.241200794714823</v>
      </c>
      <c r="M64" s="33"/>
      <c r="N64" s="33"/>
      <c r="O64" s="33"/>
      <c r="P64" s="33"/>
      <c r="Q64" s="33"/>
      <c r="R64" s="33"/>
      <c r="S64" s="33"/>
    </row>
    <row r="65" spans="3:19" x14ac:dyDescent="0.25">
      <c r="C65" s="33"/>
      <c r="D65" s="33"/>
      <c r="E65" s="33"/>
      <c r="F65" s="33"/>
      <c r="G65" s="33"/>
      <c r="H65" s="33"/>
      <c r="I65" s="33"/>
      <c r="J65" s="33"/>
      <c r="K65" s="33">
        <v>3975.7411193378098</v>
      </c>
      <c r="L65" s="33">
        <v>0.50462170282188301</v>
      </c>
      <c r="M65" s="33"/>
      <c r="N65" s="33"/>
      <c r="O65" s="33"/>
      <c r="P65" s="33"/>
      <c r="Q65" s="33"/>
      <c r="R65" s="33"/>
      <c r="S65" s="33"/>
    </row>
    <row r="66" spans="3:19" x14ac:dyDescent="0.25">
      <c r="C66" s="33"/>
      <c r="D66" s="33"/>
      <c r="E66" s="33"/>
      <c r="F66" s="33"/>
      <c r="G66" s="33"/>
      <c r="H66" s="33"/>
      <c r="I66" s="33"/>
      <c r="J66" s="33"/>
      <c r="K66" s="33">
        <v>4719.1310674033002</v>
      </c>
      <c r="L66" s="33">
        <v>1.0098188470173901</v>
      </c>
      <c r="M66" s="33"/>
      <c r="N66" s="33"/>
      <c r="O66" s="33"/>
      <c r="P66" s="33"/>
      <c r="Q66" s="33"/>
      <c r="R66" s="33"/>
      <c r="S66" s="33"/>
    </row>
    <row r="67" spans="3:19" x14ac:dyDescent="0.25">
      <c r="C67" s="33"/>
      <c r="D67" s="33"/>
      <c r="E67" s="33" t="s">
        <v>1</v>
      </c>
      <c r="F67" s="33" t="s">
        <v>2</v>
      </c>
      <c r="G67" s="33"/>
      <c r="H67" s="33"/>
      <c r="I67" s="33"/>
      <c r="J67" s="33"/>
      <c r="K67" s="33">
        <v>5369.1306492739704</v>
      </c>
      <c r="L67" s="33">
        <v>1.51544000064611</v>
      </c>
      <c r="M67" s="33"/>
      <c r="N67" s="33"/>
      <c r="O67" s="33"/>
      <c r="P67" s="33"/>
      <c r="Q67" s="33"/>
      <c r="R67" s="33"/>
      <c r="S67" s="33"/>
    </row>
    <row r="68" spans="3:19" x14ac:dyDescent="0.25">
      <c r="C68" s="33"/>
      <c r="D68" s="33"/>
      <c r="E68" s="33">
        <v>36.569395037823</v>
      </c>
      <c r="F68" s="33">
        <v>-13.979503392231001</v>
      </c>
      <c r="G68" s="33"/>
      <c r="H68" s="33"/>
      <c r="I68" s="33"/>
      <c r="J68" s="33"/>
      <c r="K68" s="33">
        <v>5961.9880089804501</v>
      </c>
      <c r="L68" s="33">
        <v>2.0155439839118698</v>
      </c>
      <c r="M68" s="33"/>
      <c r="N68" s="33"/>
      <c r="O68" s="33"/>
      <c r="P68" s="33"/>
      <c r="Q68" s="33"/>
      <c r="R68" s="33"/>
      <c r="S68" s="33"/>
    </row>
    <row r="69" spans="3:19" x14ac:dyDescent="0.25">
      <c r="C69" s="33"/>
      <c r="D69" s="33"/>
      <c r="E69" s="33">
        <v>60.072525360683301</v>
      </c>
      <c r="F69" s="33">
        <v>-11.9907383340671</v>
      </c>
      <c r="G69" s="33"/>
      <c r="H69" s="33"/>
      <c r="I69" s="33"/>
      <c r="J69" s="33"/>
      <c r="K69" s="33">
        <v>6620.9086640319101</v>
      </c>
      <c r="L69" s="33">
        <v>2.5214074286452601</v>
      </c>
      <c r="M69" s="33"/>
      <c r="N69" s="33"/>
      <c r="O69" s="33"/>
      <c r="P69" s="33"/>
      <c r="Q69" s="33"/>
      <c r="R69" s="33"/>
      <c r="S69" s="33"/>
    </row>
    <row r="70" spans="3:19" x14ac:dyDescent="0.25">
      <c r="C70" s="33"/>
      <c r="D70" s="33"/>
      <c r="E70" s="33">
        <v>100.275194641322</v>
      </c>
      <c r="F70" s="33">
        <v>-9.9333541977201207</v>
      </c>
      <c r="G70" s="33"/>
      <c r="H70" s="33"/>
      <c r="I70" s="33"/>
      <c r="J70" s="33"/>
      <c r="K70" s="33">
        <v>7356.6539748833702</v>
      </c>
      <c r="L70" s="33">
        <v>3.0618276421844901</v>
      </c>
      <c r="M70" s="33"/>
      <c r="N70" s="33"/>
      <c r="O70" s="33"/>
      <c r="P70" s="33"/>
      <c r="Q70" s="33"/>
      <c r="R70" s="33"/>
      <c r="S70" s="33"/>
    </row>
    <row r="71" spans="3:19" x14ac:dyDescent="0.25">
      <c r="C71" s="33"/>
      <c r="D71" s="33"/>
      <c r="E71" s="33">
        <v>202.43783009648101</v>
      </c>
      <c r="F71" s="33">
        <v>-7.7446729507370602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3:19" x14ac:dyDescent="0.25">
      <c r="C72" s="33"/>
      <c r="D72" s="33" t="s">
        <v>5</v>
      </c>
      <c r="E72" s="33">
        <v>303.93374693033599</v>
      </c>
      <c r="F72" s="33">
        <v>-6.7216248760071897</v>
      </c>
      <c r="G72" s="33"/>
      <c r="H72" s="33"/>
      <c r="I72" s="33"/>
      <c r="J72" s="33"/>
      <c r="K72" s="34">
        <f>-Sheet2!P78</f>
        <v>3.0492128030560477</v>
      </c>
      <c r="L72" s="33"/>
      <c r="M72" s="33"/>
      <c r="N72" s="33"/>
      <c r="O72" s="33"/>
      <c r="P72" s="33"/>
      <c r="Q72" s="33"/>
      <c r="R72" s="33"/>
      <c r="S72" s="33"/>
    </row>
    <row r="73" spans="3:19" x14ac:dyDescent="0.25">
      <c r="C73" s="33"/>
      <c r="D73" s="33"/>
      <c r="E73" s="33">
        <v>1018.07705147839</v>
      </c>
      <c r="F73" s="33">
        <v>-4.4135286098483402</v>
      </c>
      <c r="G73" s="33"/>
      <c r="H73" s="33"/>
      <c r="I73" s="33"/>
      <c r="J73" s="33"/>
      <c r="K73" s="33"/>
      <c r="L73" s="33"/>
      <c r="M73" s="33">
        <v>36.569395037823</v>
      </c>
      <c r="N73" s="33">
        <v>-13.979503392231001</v>
      </c>
      <c r="O73" s="33"/>
      <c r="P73" s="33"/>
      <c r="Q73" s="33"/>
      <c r="R73" s="33"/>
      <c r="S73" s="33"/>
    </row>
    <row r="74" spans="3:19" x14ac:dyDescent="0.25">
      <c r="C74" s="33"/>
      <c r="D74" s="33"/>
      <c r="E74" s="33">
        <v>3020.1317290319198</v>
      </c>
      <c r="F74" s="33">
        <v>-3.0353545265994399</v>
      </c>
      <c r="G74" s="33"/>
      <c r="H74" s="33"/>
      <c r="I74" s="33"/>
      <c r="J74" s="33"/>
      <c r="K74" s="33"/>
      <c r="L74" s="33"/>
      <c r="M74" s="33">
        <v>60.072525360683301</v>
      </c>
      <c r="N74" s="33">
        <v>-11.9907383340671</v>
      </c>
      <c r="O74" s="33"/>
      <c r="P74" s="33">
        <v>34545</v>
      </c>
      <c r="Q74" s="33"/>
      <c r="R74" s="33"/>
      <c r="S74" s="33"/>
    </row>
    <row r="75" spans="3:19" x14ac:dyDescent="0.25">
      <c r="C75" s="33"/>
      <c r="D75" s="33"/>
      <c r="E75" s="33">
        <v>10159.529079260899</v>
      </c>
      <c r="F75" s="33">
        <v>-1.90417941958105</v>
      </c>
      <c r="G75" s="33"/>
      <c r="H75" s="33"/>
      <c r="I75" s="33"/>
      <c r="J75" s="33"/>
      <c r="K75" s="33"/>
      <c r="L75" s="33"/>
      <c r="M75" s="33">
        <v>100.275194641322</v>
      </c>
      <c r="N75" s="33">
        <v>-9.9333541977201207</v>
      </c>
      <c r="O75" s="33"/>
      <c r="P75" s="33"/>
      <c r="Q75" s="33"/>
      <c r="R75" s="33"/>
      <c r="S75" s="33"/>
    </row>
    <row r="76" spans="3:19" x14ac:dyDescent="0.25">
      <c r="C76" s="33"/>
      <c r="D76" s="33"/>
      <c r="E76" s="33">
        <v>40615.217135072402</v>
      </c>
      <c r="F76" s="33">
        <v>-1.19481855940249</v>
      </c>
      <c r="G76" s="33"/>
      <c r="H76" s="33"/>
      <c r="I76" s="33"/>
      <c r="J76" s="33" t="s">
        <v>26</v>
      </c>
      <c r="K76" s="33"/>
      <c r="L76" s="33"/>
      <c r="M76" s="33">
        <v>202.43783009648101</v>
      </c>
      <c r="N76" s="33">
        <v>-7.7446729507370602</v>
      </c>
      <c r="O76" s="33"/>
      <c r="P76" s="33">
        <f>MATCH(Sheet1!Q9,M73:M82)</f>
        <v>6</v>
      </c>
      <c r="Q76" s="33"/>
      <c r="R76" s="33"/>
      <c r="S76" s="33"/>
    </row>
    <row r="77" spans="3:19" x14ac:dyDescent="0.25">
      <c r="C77" s="33"/>
      <c r="D77" s="33"/>
      <c r="E77" s="33">
        <v>100110.476212692</v>
      </c>
      <c r="F77" s="33">
        <v>-0.91722319766177596</v>
      </c>
      <c r="G77" s="33"/>
      <c r="H77" s="33"/>
      <c r="I77" s="33"/>
      <c r="J77" s="33"/>
      <c r="K77" s="33"/>
      <c r="L77" s="33"/>
      <c r="M77" s="33">
        <v>303.93374693033599</v>
      </c>
      <c r="N77" s="33">
        <v>-6.7216248760071897</v>
      </c>
      <c r="O77" s="33"/>
      <c r="P77" s="33"/>
      <c r="Q77" s="33"/>
      <c r="R77" s="33"/>
      <c r="S77" s="33"/>
    </row>
    <row r="78" spans="3:19" x14ac:dyDescent="0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>
        <v>1018.07705147839</v>
      </c>
      <c r="N78" s="33">
        <v>-4.4135286098483402</v>
      </c>
      <c r="O78" s="33"/>
      <c r="P78" s="33">
        <f>(Sheet1!Q9-INDEX(M73:M82,P76))/(INDEX(M73:M82,P76+1)-INDEX(M73:M82,P76))*(INDEX(N73:N82,P76+1)-INDEX(N73:N82,P76))+INDEX(N73:N82,P76)</f>
        <v>-3.0492128030560477</v>
      </c>
      <c r="Q78" s="33"/>
      <c r="R78" s="33"/>
      <c r="S78" s="33"/>
    </row>
    <row r="79" spans="3:19" x14ac:dyDescent="0.25">
      <c r="C79" s="33"/>
      <c r="D79" s="33"/>
      <c r="E79" s="33" t="s">
        <v>1</v>
      </c>
      <c r="F79" s="33" t="s">
        <v>2</v>
      </c>
      <c r="G79" s="33"/>
      <c r="H79" s="33"/>
      <c r="I79" s="33"/>
      <c r="J79" s="33"/>
      <c r="K79" s="33"/>
      <c r="L79" s="33"/>
      <c r="M79" s="33">
        <v>3020.1317290319198</v>
      </c>
      <c r="N79" s="33">
        <v>-3.0353545265994399</v>
      </c>
      <c r="O79" s="33"/>
      <c r="P79" s="33"/>
      <c r="Q79" s="33"/>
      <c r="R79" s="33"/>
      <c r="S79" s="33"/>
    </row>
    <row r="80" spans="3:19" x14ac:dyDescent="0.25">
      <c r="C80" s="33"/>
      <c r="D80" s="33"/>
      <c r="E80" s="33">
        <v>36.855658232619398</v>
      </c>
      <c r="F80" s="33">
        <v>13.9855929641044</v>
      </c>
      <c r="G80" s="33"/>
      <c r="H80" s="33"/>
      <c r="I80" s="33"/>
      <c r="J80" s="33"/>
      <c r="K80" s="33"/>
      <c r="L80" s="33"/>
      <c r="M80" s="33">
        <v>10159.529079260899</v>
      </c>
      <c r="N80" s="33">
        <v>-1.90417941958105</v>
      </c>
      <c r="O80" s="33"/>
      <c r="P80" s="33"/>
      <c r="Q80" s="33"/>
      <c r="R80" s="33"/>
      <c r="S80" s="33"/>
    </row>
    <row r="81" spans="3:19" x14ac:dyDescent="0.25">
      <c r="C81" s="33"/>
      <c r="D81" s="33"/>
      <c r="E81" s="33">
        <v>100.174324469783</v>
      </c>
      <c r="F81" s="33">
        <v>10.1062386284671</v>
      </c>
      <c r="G81" s="33"/>
      <c r="H81" s="33"/>
      <c r="I81" s="33"/>
      <c r="J81" s="33"/>
      <c r="K81" s="33"/>
      <c r="L81" s="33"/>
      <c r="M81" s="33">
        <v>40615.217135072402</v>
      </c>
      <c r="N81" s="33">
        <v>-1.19481855940249</v>
      </c>
      <c r="O81" s="33"/>
      <c r="P81" s="33"/>
      <c r="Q81" s="33"/>
      <c r="R81" s="33"/>
      <c r="S81" s="33"/>
    </row>
    <row r="82" spans="3:19" x14ac:dyDescent="0.25">
      <c r="C82" s="33"/>
      <c r="D82" s="33"/>
      <c r="E82" s="33">
        <v>201.14043360918501</v>
      </c>
      <c r="F82" s="33">
        <v>8.0034054922845907</v>
      </c>
      <c r="G82" s="33"/>
      <c r="H82" s="33"/>
      <c r="I82" s="33"/>
      <c r="J82" s="33"/>
      <c r="K82" s="33"/>
      <c r="L82" s="33"/>
      <c r="M82" s="33">
        <v>100110.476212692</v>
      </c>
      <c r="N82" s="33">
        <v>-0.91722319766177596</v>
      </c>
      <c r="O82" s="33"/>
      <c r="P82" s="33"/>
      <c r="Q82" s="33"/>
      <c r="R82" s="33"/>
      <c r="S82" s="33"/>
    </row>
    <row r="83" spans="3:19" x14ac:dyDescent="0.25">
      <c r="C83" s="33"/>
      <c r="D83" s="33"/>
      <c r="E83" s="33">
        <v>1014.77970159884</v>
      </c>
      <c r="F83" s="33">
        <v>4.7237997231048299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3:19" x14ac:dyDescent="0.25">
      <c r="C84" s="33"/>
      <c r="D84" s="33" t="s">
        <v>6</v>
      </c>
      <c r="E84" s="33">
        <v>6115.1288772317603</v>
      </c>
      <c r="F84" s="33">
        <v>2.6488895018539198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3:19" x14ac:dyDescent="0.25">
      <c r="C85" s="33"/>
      <c r="D85" s="33"/>
      <c r="E85" s="33">
        <v>10207.0917944264</v>
      </c>
      <c r="F85" s="33">
        <v>2.1450888239381598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3:19" x14ac:dyDescent="0.25">
      <c r="C86" s="33"/>
      <c r="D86" s="33"/>
      <c r="E86" s="33">
        <v>20282.0949214791</v>
      </c>
      <c r="F86" s="33">
        <v>1.7731793612314899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3:19" x14ac:dyDescent="0.25">
      <c r="C87" s="33"/>
      <c r="D87" s="33"/>
      <c r="E87" s="33">
        <v>40634.668020699602</v>
      </c>
      <c r="F87" s="33">
        <v>1.50479262037248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3:19" x14ac:dyDescent="0.25">
      <c r="C88" s="33"/>
      <c r="D88" s="33"/>
      <c r="E88" s="33">
        <v>99986.321172302094</v>
      </c>
      <c r="F88" s="33">
        <v>1.2286825200642899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3:19" x14ac:dyDescent="0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3:19" x14ac:dyDescent="0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3:19" x14ac:dyDescent="0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3:19" x14ac:dyDescent="0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3:19" x14ac:dyDescent="0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3:19" x14ac:dyDescent="0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3:19" x14ac:dyDescent="0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3:19" x14ac:dyDescent="0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3:19" x14ac:dyDescent="0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3:19" x14ac:dyDescent="0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3:19" x14ac:dyDescent="0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3:19" x14ac:dyDescent="0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3:19" x14ac:dyDescent="0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3:19" x14ac:dyDescent="0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3:19" x14ac:dyDescent="0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3:19" x14ac:dyDescent="0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3:19" x14ac:dyDescent="0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3:19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3:19" x14ac:dyDescent="0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3:19" x14ac:dyDescent="0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3:19" x14ac:dyDescent="0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3:19" x14ac:dyDescent="0.2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3:19" x14ac:dyDescent="0.2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3:19" x14ac:dyDescent="0.2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3:19" x14ac:dyDescent="0.2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3:19" x14ac:dyDescent="0.2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3:19" x14ac:dyDescent="0.2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3:19" x14ac:dyDescent="0.2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3:19" x14ac:dyDescent="0.2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3:19" x14ac:dyDescent="0.2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3:19" x14ac:dyDescent="0.2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3:19" x14ac:dyDescent="0.2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3:19" x14ac:dyDescent="0.2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3:19" x14ac:dyDescent="0.2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3:19" x14ac:dyDescent="0.2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3:19" x14ac:dyDescent="0.2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3:19" x14ac:dyDescent="0.2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3:19" x14ac:dyDescent="0.2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3:19" x14ac:dyDescent="0.2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3:19" x14ac:dyDescent="0.2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3:19" x14ac:dyDescent="0.2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3:19" x14ac:dyDescent="0.2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3:19" x14ac:dyDescent="0.2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3:19" x14ac:dyDescent="0.2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3:19" x14ac:dyDescent="0.2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3:19" x14ac:dyDescent="0.2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3:19" x14ac:dyDescent="0.2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3:19" x14ac:dyDescent="0.2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3:19" x14ac:dyDescent="0.2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3:19" x14ac:dyDescent="0.2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3:19" x14ac:dyDescent="0.2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3:19" x14ac:dyDescent="0.2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3:19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3:19" x14ac:dyDescent="0.2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3:19" x14ac:dyDescent="0.2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3:19" x14ac:dyDescent="0.2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3:19" x14ac:dyDescent="0.2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3:19" x14ac:dyDescent="0.2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3:19" x14ac:dyDescent="0.2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3:19" x14ac:dyDescent="0.2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3:19" x14ac:dyDescent="0.2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3:19" x14ac:dyDescent="0.2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3:19" x14ac:dyDescent="0.2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3:19" x14ac:dyDescent="0.2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3:19" x14ac:dyDescent="0.2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3:19" x14ac:dyDescent="0.2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3:19" x14ac:dyDescent="0.2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3:19" x14ac:dyDescent="0.2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3:19" x14ac:dyDescent="0.2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3:19" x14ac:dyDescent="0.2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3:19" x14ac:dyDescent="0.2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3:19" x14ac:dyDescent="0.2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3:19" x14ac:dyDescent="0.2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3:19" x14ac:dyDescent="0.2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3:19" x14ac:dyDescent="0.2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3:19" x14ac:dyDescent="0.2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3:19" x14ac:dyDescent="0.2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3:19" x14ac:dyDescent="0.2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3:19" x14ac:dyDescent="0.2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3:19" x14ac:dyDescent="0.2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3:19" x14ac:dyDescent="0.2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3:19" x14ac:dyDescent="0.2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3:19" x14ac:dyDescent="0.2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3:19" x14ac:dyDescent="0.2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3:19" x14ac:dyDescent="0.2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3:19" x14ac:dyDescent="0.2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3:19" x14ac:dyDescent="0.2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3:19" x14ac:dyDescent="0.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3:19" x14ac:dyDescent="0.2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3:19" x14ac:dyDescent="0.2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3:19" x14ac:dyDescent="0.2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3:19" x14ac:dyDescent="0.2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3:19" x14ac:dyDescent="0.2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3:19" x14ac:dyDescent="0.2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3:19" x14ac:dyDescent="0.2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3:19" x14ac:dyDescent="0.2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3:19" x14ac:dyDescent="0.2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3:19" x14ac:dyDescent="0.2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3:19" x14ac:dyDescent="0.2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3:19" x14ac:dyDescent="0.2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3:19" x14ac:dyDescent="0.2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3:19" x14ac:dyDescent="0.2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3:19" x14ac:dyDescent="0.2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3:19" x14ac:dyDescent="0.2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3:19" x14ac:dyDescent="0.2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3:19" x14ac:dyDescent="0.2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3:19" x14ac:dyDescent="0.2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3:19" x14ac:dyDescent="0.2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3:19" x14ac:dyDescent="0.2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3:19" x14ac:dyDescent="0.2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3:19" x14ac:dyDescent="0.2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3:19" x14ac:dyDescent="0.2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3:19" x14ac:dyDescent="0.2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3:19" x14ac:dyDescent="0.2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3:19" x14ac:dyDescent="0.2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3:19" x14ac:dyDescent="0.2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3:19" x14ac:dyDescent="0.2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3:19" x14ac:dyDescent="0.2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3:19" x14ac:dyDescent="0.2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3:19" x14ac:dyDescent="0.2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3:19" x14ac:dyDescent="0.2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3:19" x14ac:dyDescent="0.2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3:19" x14ac:dyDescent="0.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3:19" x14ac:dyDescent="0.2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3:19" x14ac:dyDescent="0.2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3:19" x14ac:dyDescent="0.2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3:19" x14ac:dyDescent="0.2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3:19" x14ac:dyDescent="0.2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3:19" x14ac:dyDescent="0.2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3:19" x14ac:dyDescent="0.2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3:19" x14ac:dyDescent="0.2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3:19" x14ac:dyDescent="0.2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3:19" x14ac:dyDescent="0.2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3:19" x14ac:dyDescent="0.2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3:19" x14ac:dyDescent="0.2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3:19" x14ac:dyDescent="0.2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3:19" x14ac:dyDescent="0.2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3:19" x14ac:dyDescent="0.2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3:19" x14ac:dyDescent="0.2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3:19" x14ac:dyDescent="0.2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3:19" x14ac:dyDescent="0.2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3:19" x14ac:dyDescent="0.2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3:19" x14ac:dyDescent="0.2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3:19" x14ac:dyDescent="0.2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3:19" x14ac:dyDescent="0.2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3:19" x14ac:dyDescent="0.2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3:19" x14ac:dyDescent="0.25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3:19" x14ac:dyDescent="0.25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3:19" x14ac:dyDescent="0.25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3:19" x14ac:dyDescent="0.25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3:19" x14ac:dyDescent="0.25"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3:19" x14ac:dyDescent="0.25"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3:19" x14ac:dyDescent="0.25"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3:19" x14ac:dyDescent="0.25"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3:19" x14ac:dyDescent="0.25"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3:19" x14ac:dyDescent="0.25"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3:19" x14ac:dyDescent="0.25"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3:19" x14ac:dyDescent="0.25"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3:19" x14ac:dyDescent="0.25"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3:19" x14ac:dyDescent="0.25"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3:19" x14ac:dyDescent="0.25"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3:19" x14ac:dyDescent="0.25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3:19" x14ac:dyDescent="0.25"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3:19" x14ac:dyDescent="0.25"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3:19" x14ac:dyDescent="0.25"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3:19" x14ac:dyDescent="0.25"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3:19" x14ac:dyDescent="0.25"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3:19" x14ac:dyDescent="0.25"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3:19" x14ac:dyDescent="0.25"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3:19" x14ac:dyDescent="0.25"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3:19" x14ac:dyDescent="0.25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3:19" x14ac:dyDescent="0.25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3:19" x14ac:dyDescent="0.25"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3:19" x14ac:dyDescent="0.25"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3:19" x14ac:dyDescent="0.25"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3:19" x14ac:dyDescent="0.25"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3:19" x14ac:dyDescent="0.25"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3:19" x14ac:dyDescent="0.25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3:19" x14ac:dyDescent="0.25"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3:19" x14ac:dyDescent="0.25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3:19" x14ac:dyDescent="0.25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3:19" x14ac:dyDescent="0.25"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3:19" x14ac:dyDescent="0.25"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3:19" x14ac:dyDescent="0.25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3:19" x14ac:dyDescent="0.2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</row>
    <row r="274" spans="3:19" x14ac:dyDescent="0.25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3:19" x14ac:dyDescent="0.2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3:19" x14ac:dyDescent="0.25"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</row>
    <row r="277" spans="3:19" x14ac:dyDescent="0.25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</row>
    <row r="278" spans="3:19" x14ac:dyDescent="0.25"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3:19" x14ac:dyDescent="0.25"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3:19" x14ac:dyDescent="0.25"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</row>
    <row r="281" spans="3:19" x14ac:dyDescent="0.25"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3:19" x14ac:dyDescent="0.25"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3:19" x14ac:dyDescent="0.25"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</row>
    <row r="284" spans="3:19" x14ac:dyDescent="0.25"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3:19" x14ac:dyDescent="0.25"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</row>
    <row r="286" spans="3:19" x14ac:dyDescent="0.25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3:19" x14ac:dyDescent="0.25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3:19" x14ac:dyDescent="0.25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3:19" x14ac:dyDescent="0.25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3:19" x14ac:dyDescent="0.25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3:19" x14ac:dyDescent="0.25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3:19" x14ac:dyDescent="0.25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3:19" x14ac:dyDescent="0.25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3:19" x14ac:dyDescent="0.25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</sheetData>
  <mergeCells count="2">
    <mergeCell ref="R7:R12"/>
    <mergeCell ref="R14:R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CASING</dc:creator>
  <cp:lastModifiedBy>Shaft</cp:lastModifiedBy>
  <cp:lastPrinted>2017-06-26T05:43:46Z</cp:lastPrinted>
  <dcterms:created xsi:type="dcterms:W3CDTF">2017-06-22T04:31:09Z</dcterms:created>
  <dcterms:modified xsi:type="dcterms:W3CDTF">2017-06-30T11:04:21Z</dcterms:modified>
</cp:coreProperties>
</file>